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drawings/drawing2.xml" ContentType="application/vnd.openxmlformats-officedocument.drawing+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alcChain.xml" ContentType="application/vnd.openxmlformats-officedocument.spreadsheetml.calcChain+xml"/>
  <Override PartName="/xl/webextensions/taskpanes.xml" ContentType="application/vnd.ms-office.webextensiontaskpanes+xml"/>
  <Override PartName="/xl/webextensions/webextension1.xml" ContentType="application/vnd.ms-office.webextension+xml"/>
  <Override PartName="/xl/webextensions/webextension2.xml" ContentType="application/vnd.ms-office.webextensi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11/relationships/webextensiontaskpanes" Target="xl/webextensions/taskpanes.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C:\Users\OwenTolley\Desktop\4 Monkton Place, Farnham\"/>
    </mc:Choice>
  </mc:AlternateContent>
  <xr:revisionPtr revIDLastSave="0" documentId="13_ncr:1_{27B0C2BF-A7AA-4877-AB67-4DB4BAD228D0}" xr6:coauthVersionLast="47" xr6:coauthVersionMax="47" xr10:uidLastSave="{00000000-0000-0000-0000-000000000000}"/>
  <bookViews>
    <workbookView xWindow="-108" yWindow="-108" windowWidth="23256" windowHeight="13896" xr2:uid="{AD80899B-3B85-4AFF-AA07-5668E1426DF8}"/>
  </bookViews>
  <sheets>
    <sheet name="Summary" sheetId="1" r:id="rId1"/>
    <sheet name="Comparables" sheetId="2" r:id="rId2"/>
    <sheet name="Acquisition and Stabilisation" sheetId="3" r:id="rId3"/>
    <sheet name="Operating Statement" sheetId="7" r:id="rId4"/>
    <sheet name="Debt Financing" sheetId="8" r:id="rId5"/>
    <sheet name="Reversion" sheetId="5" r:id="rId6"/>
    <sheet name="Property Returns" sheetId="6" r:id="rId7"/>
  </sheets>
  <definedNames>
    <definedName name="GIA">Summary!$N$4</definedName>
    <definedName name="solver_adj" localSheetId="2" hidden="1">'Acquisition and Stabilisation'!$G$18</definedName>
    <definedName name="solver_eng" localSheetId="2" hidden="1">1</definedName>
    <definedName name="solver_neg" localSheetId="2" hidden="1">1</definedName>
    <definedName name="solver_num" localSheetId="2" hidden="1">0</definedName>
    <definedName name="solver_opt" localSheetId="2" hidden="1">'Acquisition and Stabilisation'!$H$21</definedName>
    <definedName name="solver_typ" localSheetId="2" hidden="1">1</definedName>
    <definedName name="solver_val" localSheetId="2" hidden="1">0</definedName>
    <definedName name="solver_ver" localSheetId="2" hidden="1">3</definedName>
  </definedNames>
  <calcPr calcId="191029" iterate="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31" i="1" l="1"/>
  <c r="E31" i="1"/>
  <c r="F31" i="1"/>
  <c r="G31" i="1"/>
  <c r="H31" i="1"/>
  <c r="I31" i="1"/>
  <c r="C31" i="1"/>
  <c r="H21" i="2"/>
  <c r="D13" i="1"/>
  <c r="H6" i="8"/>
  <c r="H10" i="8" s="1"/>
  <c r="J18" i="5"/>
  <c r="G23" i="1"/>
  <c r="G29" i="6"/>
  <c r="H29" i="6" s="1"/>
  <c r="I29" i="6" s="1"/>
  <c r="J29" i="6" s="1"/>
  <c r="K29" i="6" s="1"/>
  <c r="L29" i="6" s="1"/>
  <c r="M29" i="6" s="1"/>
  <c r="G3" i="6"/>
  <c r="H3" i="6" s="1"/>
  <c r="I3" i="6" s="1"/>
  <c r="J3" i="6" s="1"/>
  <c r="K3" i="6" s="1"/>
  <c r="L3" i="6" s="1"/>
  <c r="M3" i="6" s="1"/>
  <c r="E8" i="8"/>
  <c r="J4" i="8"/>
  <c r="K4" i="8"/>
  <c r="L4" i="8" s="1"/>
  <c r="M4" i="8" s="1"/>
  <c r="N4" i="8" s="1"/>
  <c r="I4" i="8"/>
  <c r="H5" i="8"/>
  <c r="I5" i="8" s="1"/>
  <c r="J5" i="8" s="1"/>
  <c r="K5" i="8" s="1"/>
  <c r="L5" i="8" s="1"/>
  <c r="M5" i="8" s="1"/>
  <c r="N5" i="8" s="1"/>
  <c r="F23" i="7"/>
  <c r="F22" i="7"/>
  <c r="E15" i="7"/>
  <c r="F5" i="7"/>
  <c r="G4" i="7"/>
  <c r="G25" i="7" s="1"/>
  <c r="F25" i="3"/>
  <c r="G25" i="3" s="1"/>
  <c r="F26" i="3"/>
  <c r="E12" i="3"/>
  <c r="F6" i="3"/>
  <c r="N18" i="1"/>
  <c r="E4" i="2"/>
  <c r="E21" i="2" s="1"/>
  <c r="F4" i="2"/>
  <c r="N12" i="1"/>
  <c r="G5" i="3" s="1"/>
  <c r="D21" i="2"/>
  <c r="C21" i="2"/>
  <c r="B21" i="2"/>
  <c r="L18" i="2"/>
  <c r="M18" i="2" s="1"/>
  <c r="G18" i="2"/>
  <c r="K17" i="2"/>
  <c r="L17" i="2" s="1"/>
  <c r="M17" i="2" s="1"/>
  <c r="G17" i="2"/>
  <c r="L16" i="2"/>
  <c r="M16" i="2" s="1"/>
  <c r="G16" i="2"/>
  <c r="I11" i="2"/>
  <c r="G11" i="2"/>
  <c r="I10" i="2"/>
  <c r="J10" i="2" s="1"/>
  <c r="G10" i="2"/>
  <c r="I9" i="2"/>
  <c r="G9" i="2"/>
  <c r="G12" i="1"/>
  <c r="N7" i="1"/>
  <c r="G18" i="3" l="1"/>
  <c r="G19" i="3" s="1"/>
  <c r="E4" i="8" s="1"/>
  <c r="F23" i="1"/>
  <c r="F27" i="3"/>
  <c r="G26" i="3"/>
  <c r="F7" i="7"/>
  <c r="F15" i="7" s="1"/>
  <c r="G30" i="3"/>
  <c r="N16" i="2"/>
  <c r="N17" i="2"/>
  <c r="N18" i="2"/>
  <c r="J11" i="2"/>
  <c r="J9" i="2"/>
  <c r="G5" i="7"/>
  <c r="H4" i="7"/>
  <c r="H25" i="7" s="1"/>
  <c r="G23" i="7"/>
  <c r="G22" i="7"/>
  <c r="F5" i="3"/>
  <c r="F7" i="3" s="1"/>
  <c r="F9" i="3" s="1"/>
  <c r="G7" i="3"/>
  <c r="G9" i="3" s="1"/>
  <c r="F21" i="2"/>
  <c r="G4" i="2"/>
  <c r="G21" i="2" s="1"/>
  <c r="I21" i="2" s="1"/>
  <c r="J21" i="2" s="1"/>
  <c r="G26" i="7" l="1"/>
  <c r="H12" i="6" s="1"/>
  <c r="F9" i="7"/>
  <c r="G7" i="7"/>
  <c r="G15" i="7" s="1"/>
  <c r="F8" i="7"/>
  <c r="F25" i="7"/>
  <c r="F26" i="7" s="1"/>
  <c r="G12" i="6" s="1"/>
  <c r="F16" i="7"/>
  <c r="G11" i="6" s="1"/>
  <c r="F30" i="3"/>
  <c r="F31" i="3" s="1"/>
  <c r="G31" i="3"/>
  <c r="F20" i="1"/>
  <c r="G12" i="3"/>
  <c r="G13" i="3" s="1"/>
  <c r="G15" i="3" s="1"/>
  <c r="F15" i="3" s="1"/>
  <c r="N19" i="2"/>
  <c r="H5" i="7"/>
  <c r="H22" i="7"/>
  <c r="H23" i="7"/>
  <c r="I4" i="7"/>
  <c r="I25" i="7" s="1"/>
  <c r="F10" i="7" l="1"/>
  <c r="F12" i="7" s="1"/>
  <c r="G16" i="7"/>
  <c r="H11" i="6" s="1"/>
  <c r="G8" i="7"/>
  <c r="H7" i="7"/>
  <c r="H15" i="7" s="1"/>
  <c r="G9" i="7"/>
  <c r="H26" i="7"/>
  <c r="I12" i="6" s="1"/>
  <c r="I5" i="7"/>
  <c r="I22" i="7"/>
  <c r="I23" i="7"/>
  <c r="J4" i="7"/>
  <c r="J25" i="7" s="1"/>
  <c r="F12" i="3"/>
  <c r="F13" i="3" s="1"/>
  <c r="F18" i="7" l="1"/>
  <c r="G10" i="6"/>
  <c r="G13" i="6" s="1"/>
  <c r="G15" i="6" s="1"/>
  <c r="C32" i="1" s="1"/>
  <c r="G10" i="7"/>
  <c r="G12" i="7" s="1"/>
  <c r="H9" i="7"/>
  <c r="H16" i="7"/>
  <c r="I11" i="6" s="1"/>
  <c r="H8" i="7"/>
  <c r="I7" i="7"/>
  <c r="I15" i="7" s="1"/>
  <c r="G23" i="6"/>
  <c r="G36" i="6"/>
  <c r="F21" i="1"/>
  <c r="F22" i="1" s="1"/>
  <c r="I26" i="7"/>
  <c r="J12" i="6" s="1"/>
  <c r="J5" i="7"/>
  <c r="J22" i="7"/>
  <c r="J23" i="7"/>
  <c r="K4" i="7"/>
  <c r="K25" i="7" s="1"/>
  <c r="F28" i="7" l="1"/>
  <c r="H9" i="8"/>
  <c r="H10" i="7"/>
  <c r="H12" i="7" s="1"/>
  <c r="H10" i="6"/>
  <c r="H13" i="6" s="1"/>
  <c r="H15" i="6" s="1"/>
  <c r="D32" i="1" s="1"/>
  <c r="G18" i="7"/>
  <c r="I9" i="7"/>
  <c r="I16" i="7"/>
  <c r="J11" i="6" s="1"/>
  <c r="I8" i="7"/>
  <c r="J7" i="7"/>
  <c r="J15" i="7" s="1"/>
  <c r="K5" i="7"/>
  <c r="J26" i="7"/>
  <c r="K12" i="6" s="1"/>
  <c r="K22" i="7"/>
  <c r="K23" i="7"/>
  <c r="L4" i="7"/>
  <c r="L25" i="7" s="1"/>
  <c r="I10" i="7" l="1"/>
  <c r="I12" i="7" s="1"/>
  <c r="I10" i="6"/>
  <c r="I13" i="6" s="1"/>
  <c r="I15" i="6" s="1"/>
  <c r="E32" i="1" s="1"/>
  <c r="H18" i="7"/>
  <c r="H36" i="6"/>
  <c r="H23" i="6"/>
  <c r="I9" i="8"/>
  <c r="G28" i="7"/>
  <c r="J9" i="7"/>
  <c r="J16" i="7"/>
  <c r="K11" i="6" s="1"/>
  <c r="J8" i="7"/>
  <c r="K7" i="7"/>
  <c r="K15" i="7" s="1"/>
  <c r="F24" i="1"/>
  <c r="H11" i="8"/>
  <c r="F5" i="6"/>
  <c r="F19" i="3"/>
  <c r="G20" i="3"/>
  <c r="L5" i="7"/>
  <c r="K26" i="7"/>
  <c r="L12" i="6" s="1"/>
  <c r="L22" i="7"/>
  <c r="L23" i="7"/>
  <c r="M4" i="7"/>
  <c r="M25" i="7" s="1"/>
  <c r="G27" i="3"/>
  <c r="G33" i="3" s="1"/>
  <c r="F33" i="3" s="1"/>
  <c r="J10" i="7" l="1"/>
  <c r="J12" i="7" s="1"/>
  <c r="I11" i="8"/>
  <c r="E11" i="8"/>
  <c r="E5" i="8"/>
  <c r="E6" i="8" s="1"/>
  <c r="F32" i="6" s="1"/>
  <c r="I23" i="6"/>
  <c r="I36" i="6"/>
  <c r="H28" i="7"/>
  <c r="J9" i="8"/>
  <c r="J11" i="8" s="1"/>
  <c r="I18" i="7"/>
  <c r="J10" i="6"/>
  <c r="J13" i="6" s="1"/>
  <c r="J15" i="6" s="1"/>
  <c r="F32" i="1" s="1"/>
  <c r="K8" i="7"/>
  <c r="L7" i="7"/>
  <c r="L15" i="7" s="1"/>
  <c r="H7" i="8"/>
  <c r="M7" i="8"/>
  <c r="J7" i="8"/>
  <c r="N7" i="8"/>
  <c r="M43" i="6" s="1"/>
  <c r="L7" i="8"/>
  <c r="K7" i="8"/>
  <c r="I7" i="8"/>
  <c r="K9" i="7"/>
  <c r="K16" i="7"/>
  <c r="L11" i="6" s="1"/>
  <c r="F6" i="6"/>
  <c r="F7" i="6" s="1"/>
  <c r="F31" i="6" s="1"/>
  <c r="F20" i="3"/>
  <c r="F21" i="3" s="1"/>
  <c r="M5" i="7"/>
  <c r="N3" i="5" s="1"/>
  <c r="L26" i="7"/>
  <c r="M12" i="6" s="1"/>
  <c r="M22" i="7"/>
  <c r="M23" i="7"/>
  <c r="F33" i="6" l="1"/>
  <c r="F46" i="6" s="1"/>
  <c r="I6" i="8"/>
  <c r="I10" i="8" s="1"/>
  <c r="J6" i="8"/>
  <c r="J10" i="8" s="1"/>
  <c r="K6" i="8"/>
  <c r="L6" i="8"/>
  <c r="M6" i="8"/>
  <c r="N6" i="8"/>
  <c r="L30" i="7" s="1"/>
  <c r="M37" i="6" s="1"/>
  <c r="K10" i="7"/>
  <c r="K12" i="7" s="1"/>
  <c r="L8" i="7"/>
  <c r="M7" i="7"/>
  <c r="M15" i="7" s="1"/>
  <c r="I28" i="7"/>
  <c r="K9" i="8"/>
  <c r="J36" i="6"/>
  <c r="J23" i="6"/>
  <c r="L16" i="7"/>
  <c r="M11" i="6" s="1"/>
  <c r="L9" i="7"/>
  <c r="K10" i="6"/>
  <c r="K13" i="6" s="1"/>
  <c r="K15" i="6" s="1"/>
  <c r="J18" i="7"/>
  <c r="F23" i="6"/>
  <c r="J16" i="6"/>
  <c r="H16" i="6"/>
  <c r="G16" i="6"/>
  <c r="I16" i="6"/>
  <c r="M26" i="7"/>
  <c r="K16" i="6" l="1"/>
  <c r="G32" i="1"/>
  <c r="K10" i="8"/>
  <c r="I30" i="7"/>
  <c r="J30" i="7"/>
  <c r="K37" i="6" s="1"/>
  <c r="K30" i="7"/>
  <c r="L37" i="6" s="1"/>
  <c r="F30" i="7"/>
  <c r="G30" i="7"/>
  <c r="H30" i="7"/>
  <c r="L10" i="7"/>
  <c r="L12" i="7" s="1"/>
  <c r="K18" i="7"/>
  <c r="L10" i="6"/>
  <c r="L13" i="6" s="1"/>
  <c r="L15" i="6" s="1"/>
  <c r="G5" i="5"/>
  <c r="J5" i="5" s="1"/>
  <c r="I5" i="5" s="1"/>
  <c r="M9" i="7"/>
  <c r="M8" i="7"/>
  <c r="K11" i="8"/>
  <c r="K23" i="6"/>
  <c r="K36" i="6"/>
  <c r="J28" i="7"/>
  <c r="L9" i="8"/>
  <c r="L10" i="8" s="1"/>
  <c r="L36" i="6" l="1"/>
  <c r="L38" i="6" s="1"/>
  <c r="H32" i="1"/>
  <c r="J37" i="6"/>
  <c r="J38" i="6" s="1"/>
  <c r="I32" i="7"/>
  <c r="K38" i="6"/>
  <c r="J32" i="7"/>
  <c r="F32" i="7"/>
  <c r="G37" i="6"/>
  <c r="G38" i="6" s="1"/>
  <c r="H37" i="6"/>
  <c r="H38" i="6" s="1"/>
  <c r="G32" i="7"/>
  <c r="H32" i="7"/>
  <c r="I37" i="6"/>
  <c r="I38" i="6" s="1"/>
  <c r="L18" i="7"/>
  <c r="M10" i="6"/>
  <c r="M13" i="6" s="1"/>
  <c r="M15" i="6" s="1"/>
  <c r="I32" i="1" s="1"/>
  <c r="M9" i="8"/>
  <c r="M10" i="8" s="1"/>
  <c r="K28" i="7"/>
  <c r="K32" i="7" s="1"/>
  <c r="L23" i="6"/>
  <c r="L16" i="6"/>
  <c r="M10" i="7"/>
  <c r="M12" i="7" s="1"/>
  <c r="G6" i="5"/>
  <c r="M16" i="7"/>
  <c r="G12" i="5"/>
  <c r="J12" i="5" s="1"/>
  <c r="L11" i="8"/>
  <c r="J46" i="6" l="1"/>
  <c r="J39" i="6"/>
  <c r="L39" i="6"/>
  <c r="L46" i="6"/>
  <c r="K46" i="6"/>
  <c r="K39" i="6"/>
  <c r="M18" i="7"/>
  <c r="G46" i="6"/>
  <c r="G39" i="6"/>
  <c r="H39" i="6"/>
  <c r="H46" i="6"/>
  <c r="I46" i="6"/>
  <c r="I39" i="6"/>
  <c r="N9" i="8"/>
  <c r="N10" i="8" s="1"/>
  <c r="L28" i="7"/>
  <c r="L32" i="7" s="1"/>
  <c r="M16" i="6"/>
  <c r="K23" i="1" s="1"/>
  <c r="M36" i="6"/>
  <c r="M38" i="6" s="1"/>
  <c r="M39" i="6" s="1"/>
  <c r="M11" i="8"/>
  <c r="G7" i="5"/>
  <c r="G9" i="5" s="1"/>
  <c r="J6" i="5"/>
  <c r="G13" i="5"/>
  <c r="G15" i="5" l="1"/>
  <c r="N23" i="1"/>
  <c r="N11" i="8"/>
  <c r="J7" i="5"/>
  <c r="J9" i="5" s="1"/>
  <c r="I6" i="5"/>
  <c r="I7" i="5" s="1"/>
  <c r="I12" i="5"/>
  <c r="I13" i="5" s="1"/>
  <c r="J13" i="5"/>
  <c r="G21" i="1" s="1"/>
  <c r="K27" i="1" l="1"/>
  <c r="K28" i="1"/>
  <c r="N27" i="1"/>
  <c r="N28" i="1"/>
  <c r="J15" i="5"/>
  <c r="I9" i="5"/>
  <c r="G20" i="1"/>
  <c r="G22" i="1" s="1"/>
  <c r="J19" i="5" l="1"/>
  <c r="I15" i="5"/>
  <c r="M19" i="6" l="1"/>
  <c r="I19" i="5"/>
  <c r="J20" i="5"/>
  <c r="G24" i="1"/>
  <c r="J21" i="5" l="1"/>
  <c r="I21" i="5" s="1"/>
  <c r="M20" i="6"/>
  <c r="M21" i="6" s="1"/>
  <c r="I20" i="5"/>
  <c r="M23" i="6" l="1"/>
  <c r="F25" i="6" s="1"/>
  <c r="K21" i="1" s="1"/>
  <c r="M42" i="6"/>
  <c r="M44" i="6" s="1"/>
  <c r="M46" i="6" s="1"/>
  <c r="F27" i="6" l="1"/>
  <c r="K24" i="1" s="1"/>
  <c r="F26" i="6"/>
  <c r="K22" i="1" s="1"/>
  <c r="F48" i="6"/>
  <c r="N21" i="1" s="1"/>
  <c r="F49" i="6"/>
  <c r="N22" i="1" s="1"/>
  <c r="F50" i="6"/>
  <c r="N24" i="1"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Owen Tolley</author>
  </authors>
  <commentList>
    <comment ref="L11" authorId="0" shapeId="0" xr:uid="{85BFA2F3-CA08-4F79-9468-FC31BE5616EC}">
      <text>
        <r>
          <rPr>
            <b/>
            <sz val="10"/>
            <color rgb="FF000000"/>
            <rFont val="Tahoma"/>
            <family val="2"/>
          </rPr>
          <t>Owen Tolley:</t>
        </r>
        <r>
          <rPr>
            <sz val="10"/>
            <color rgb="FF000000"/>
            <rFont val="Tahoma"/>
            <family val="2"/>
          </rPr>
          <t xml:space="preserve">
UORR - Upward-only rent review.</t>
        </r>
      </text>
    </comment>
    <comment ref="K12" authorId="0" shapeId="0" xr:uid="{8DA98F43-EFB1-4BC1-97EB-F53B8F6919A4}">
      <text>
        <r>
          <rPr>
            <b/>
            <sz val="10"/>
            <color indexed="81"/>
            <rFont val="Tahoma"/>
            <family val="2"/>
          </rPr>
          <t>Owen Tolley:</t>
        </r>
        <r>
          <rPr>
            <sz val="10"/>
            <color indexed="81"/>
            <rFont val="Tahoma"/>
            <family val="2"/>
          </rPr>
          <t xml:space="preserve">
Based on annual rent derived from the comparables analysis.</t>
        </r>
      </text>
    </comment>
    <comment ref="B13" authorId="0" shapeId="0" xr:uid="{918A3CDE-3F50-4794-9C7C-896DA35D2311}">
      <text>
        <r>
          <rPr>
            <b/>
            <sz val="10"/>
            <color indexed="81"/>
            <rFont val="Tahoma"/>
            <family val="2"/>
          </rPr>
          <t>Owen Tolley:</t>
        </r>
        <r>
          <rPr>
            <sz val="10"/>
            <color indexed="81"/>
            <rFont val="Tahoma"/>
            <family val="2"/>
          </rPr>
          <t xml:space="preserve">
Unlike the cap rate, NIY is a UK term that includes buyer acquisition costs in its denominator.</t>
        </r>
      </text>
    </comment>
    <comment ref="D13" authorId="0" shapeId="0" xr:uid="{7082EDC3-B535-46B5-9B15-50029A60185B}">
      <text>
        <r>
          <rPr>
            <b/>
            <sz val="10"/>
            <color indexed="81"/>
            <rFont val="Tahoma"/>
            <family val="2"/>
          </rPr>
          <t>Owen Tolley:</t>
        </r>
        <r>
          <rPr>
            <sz val="10"/>
            <color indexed="81"/>
            <rFont val="Tahoma"/>
            <family val="2"/>
          </rPr>
          <t xml:space="preserve">
The Knight Frank June 2026 Prime Yield guide for South East industrial and warehouse units was at 5.25%. However, the KF Prime Yield guide represents the NIY of top-tier, leased, institutional grade properties, therefore we will need to make adjustments.
- Secondary location: Farnham is solid, with good connections, but it is not in the M25 corridor or near Heathrow, for example. Upwards adjustment of 50bps to NIY.
- 1980s building, refurbished: lower spec than a brand new 2026 warehouse build, upwards adjustment of 25bps to NIY.
- No tenant in place: upwards adjustment to NIY of 50bps.
Overall adjusment should be +1.25% from KF prime yield. </t>
        </r>
      </text>
    </comment>
    <comment ref="G15" authorId="0" shapeId="0" xr:uid="{07195638-DAA2-4599-ABD4-389F2B7ADD23}">
      <text>
        <r>
          <rPr>
            <b/>
            <sz val="10"/>
            <color indexed="81"/>
            <rFont val="Tahoma"/>
            <family val="2"/>
          </rPr>
          <t>Owen Tolley:</t>
        </r>
        <r>
          <rPr>
            <sz val="10"/>
            <color indexed="81"/>
            <rFont val="Tahoma"/>
            <family val="2"/>
          </rPr>
          <t xml:space="preserve">
"Typically, a buyer’s fees are 6.5 – 7% of the purchase price (stamp duty land tax plus agency, legal and survey fees)."
https://www.withersworldwide.com/en-gb/insight/read/investing-in-uk-commercial-real-estate</t>
        </r>
      </text>
    </comment>
    <comment ref="G16" authorId="0" shapeId="0" xr:uid="{5571F23C-F0C4-4BA0-8BB6-2BFB682996A4}">
      <text>
        <r>
          <rPr>
            <b/>
            <sz val="10"/>
            <color indexed="81"/>
            <rFont val="Tahoma"/>
            <family val="2"/>
          </rPr>
          <t>Owen Tolley:</t>
        </r>
        <r>
          <rPr>
            <sz val="10"/>
            <color indexed="81"/>
            <rFont val="Tahoma"/>
            <family val="2"/>
          </rPr>
          <t xml:space="preserve">
Hard to find a definitive source here , so had to use AI, which suggested a 1.5%-2.5% disposal fee. Supposedly based on the RICS Red Book.</t>
        </r>
      </text>
    </comment>
    <comment ref="K18" authorId="0" shapeId="0" xr:uid="{2A9DADA8-3A19-4E0E-A1C7-8A43D92A53A0}">
      <text>
        <r>
          <rPr>
            <b/>
            <sz val="10"/>
            <color indexed="81"/>
            <rFont val="Tahoma"/>
            <family val="2"/>
          </rPr>
          <t>Owen Tolley:</t>
        </r>
        <r>
          <rPr>
            <sz val="10"/>
            <color indexed="81"/>
            <rFont val="Tahoma"/>
            <family val="2"/>
          </rPr>
          <t xml:space="preserve">
Sourced from pre-April 2026 leasing brochure, but part of the same listing.</t>
        </r>
      </text>
    </comment>
    <comment ref="K21" authorId="0" shapeId="0" xr:uid="{695E7F68-922E-4B71-97B5-A982CAB70D9A}">
      <text>
        <r>
          <rPr>
            <b/>
            <sz val="10"/>
            <color indexed="81"/>
            <rFont val="Tahoma"/>
            <family val="2"/>
          </rPr>
          <t>Owen Tolley:</t>
        </r>
        <r>
          <rPr>
            <sz val="10"/>
            <color indexed="81"/>
            <rFont val="Tahoma"/>
            <family val="2"/>
          </rPr>
          <t xml:space="preserve">
Unlevered IRR is the return the asset generates on its own, ignoring financing.</t>
        </r>
      </text>
    </comment>
    <comment ref="N21" authorId="0" shapeId="0" xr:uid="{0706EE18-136D-4581-9EE7-DA5ABFF1EE0F}">
      <text>
        <r>
          <rPr>
            <b/>
            <sz val="10"/>
            <color indexed="81"/>
            <rFont val="Tahoma"/>
            <family val="2"/>
          </rPr>
          <t>Owen Tolley:</t>
        </r>
        <r>
          <rPr>
            <sz val="10"/>
            <color indexed="81"/>
            <rFont val="Tahoma"/>
            <family val="2"/>
          </rPr>
          <t xml:space="preserve">
Levered IRR is the return on your equity after debt service.</t>
        </r>
      </text>
    </comment>
    <comment ref="K22" authorId="0" shapeId="0" xr:uid="{A6A54FC5-CB86-4102-9EDF-6713F10E9C67}">
      <text>
        <r>
          <rPr>
            <b/>
            <sz val="10"/>
            <color indexed="81"/>
            <rFont val="Tahoma"/>
            <family val="2"/>
          </rPr>
          <t>Owen Tolley:</t>
        </r>
        <r>
          <rPr>
            <sz val="10"/>
            <color indexed="81"/>
            <rFont val="Tahoma"/>
            <family val="2"/>
          </rPr>
          <t xml:space="preserve">
The equity multiple tells me how many pounds I get back per pound I put in over the full hold period. It is not a discounted metric.</t>
        </r>
      </text>
    </comment>
    <comment ref="N22" authorId="0" shapeId="0" xr:uid="{DDBAF3A2-D2C5-44A8-9A8F-C05F18239E0D}">
      <text>
        <r>
          <rPr>
            <b/>
            <sz val="10"/>
            <color indexed="81"/>
            <rFont val="Tahoma"/>
            <family val="2"/>
          </rPr>
          <t>Owen Tolley:</t>
        </r>
        <r>
          <rPr>
            <sz val="10"/>
            <color indexed="81"/>
            <rFont val="Tahoma"/>
            <family val="2"/>
          </rPr>
          <t xml:space="preserve">
The levered equity multiple tells me the same as the unlevered EMx, but after accounting for debt.</t>
        </r>
      </text>
    </comment>
    <comment ref="K23" authorId="0" shapeId="0" xr:uid="{A27B5172-8A4D-4188-B3D8-4213F63CD7D6}">
      <text>
        <r>
          <rPr>
            <b/>
            <sz val="10"/>
            <color indexed="81"/>
            <rFont val="Tahoma"/>
            <family val="2"/>
          </rPr>
          <t>Owen Tolley:</t>
        </r>
        <r>
          <rPr>
            <sz val="10"/>
            <color indexed="81"/>
            <rFont val="Tahoma"/>
            <family val="2"/>
          </rPr>
          <t xml:space="preserve">
Yield-on-Cost is what the asset earns as income relative to the cost of purchasing the asset, stripping out any capital gains from selling the property.</t>
        </r>
      </text>
    </comment>
    <comment ref="N23" authorId="0" shapeId="0" xr:uid="{D044ACBF-37AF-481D-8496-3746C6E623E3}">
      <text>
        <r>
          <rPr>
            <b/>
            <sz val="10"/>
            <color indexed="81"/>
            <rFont val="Tahoma"/>
            <family val="2"/>
          </rPr>
          <t>Owen Tolley:</t>
        </r>
        <r>
          <rPr>
            <sz val="10"/>
            <color indexed="81"/>
            <rFont val="Tahoma"/>
            <family val="2"/>
          </rPr>
          <t xml:space="preserve">
Cash-on-Cash is the average annual cash return on the amount of equity invested.</t>
        </r>
      </text>
    </comment>
    <comment ref="N27" authorId="0" shapeId="0" xr:uid="{41E1E5AF-6B17-4961-8595-2A91EBD69FA9}">
      <text>
        <r>
          <rPr>
            <b/>
            <sz val="10"/>
            <color indexed="81"/>
            <rFont val="Tahoma"/>
            <family val="2"/>
          </rPr>
          <t>Owen Tolley:</t>
        </r>
        <r>
          <rPr>
            <sz val="10"/>
            <color indexed="81"/>
            <rFont val="Tahoma"/>
            <family val="2"/>
          </rPr>
          <t xml:space="preserve">
This value is pre-stabilisation (first year of analysis) and during the interest holiday period.</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Unknown Author</author>
  </authors>
  <commentList>
    <comment ref="L8" authorId="0" shapeId="0" xr:uid="{81907234-5C03-4A3B-8811-2CFCED3A7CC0}">
      <text>
        <r>
          <rPr>
            <sz val="10"/>
            <color rgb="FF000000"/>
            <rFont val="Liberation Sans"/>
          </rPr>
          <t>Owen Tolley:</t>
        </r>
        <r>
          <rPr>
            <sz val="10"/>
            <color rgb="FF000000"/>
            <rFont val="Liberation Sans"/>
          </rPr>
          <t xml:space="preserve">
Advertised rent, may apply a 5% negotiation downscaling to this later.</t>
        </r>
      </text>
    </comment>
    <comment ref="B9" authorId="0" shapeId="0" xr:uid="{CDF67BD1-FDD3-47A7-88CC-C15B8CB6CCD2}">
      <text>
        <r>
          <rPr>
            <sz val="10"/>
            <color rgb="FF000000"/>
            <rFont val="Liberation Sans"/>
          </rPr>
          <t>Owen Tolley:</t>
        </r>
        <r>
          <rPr>
            <sz val="10"/>
            <color rgb="FF000000"/>
            <rFont val="Liberation Sans"/>
          </rPr>
          <t xml:space="preserve">
https://www.novaloca.com/industrial-unit/to-let/farnham/aspen-greenhills-rural-enterprise-centre/233070?search=true</t>
        </r>
      </text>
    </comment>
    <comment ref="B10" authorId="0" shapeId="0" xr:uid="{E46BD0D9-6382-49AC-B642-13C304C9EA1F}">
      <text>
        <r>
          <rPr>
            <sz val="10"/>
            <color rgb="FF000000"/>
            <rFont val="Liberation Sans"/>
          </rPr>
          <t>Owen Tolley:</t>
        </r>
        <r>
          <rPr>
            <sz val="10"/>
            <color rgb="FF000000"/>
            <rFont val="Liberation Sans"/>
          </rPr>
          <t xml:space="preserve">
https://www.novaloca.com/industrial-unit/to-let/aldershot/unit-5-brook-trading-estate/294586?search=true</t>
        </r>
      </text>
    </comment>
    <comment ref="B11" authorId="0" shapeId="0" xr:uid="{985656DE-31B1-47A3-B328-69A0AED28CAD}">
      <text>
        <r>
          <rPr>
            <sz val="10"/>
            <color rgb="FF000000"/>
            <rFont val="Liberation Sans"/>
          </rPr>
          <t>Owen Tolley:</t>
        </r>
        <r>
          <rPr>
            <sz val="10"/>
            <color rgb="FF000000"/>
            <rFont val="Liberation Sans"/>
          </rPr>
          <t xml:space="preserve">
https://www.novaloca.com/industrial-unit/to-let/fleet/unit-3a-and-3b-beacon-hill-logistics-park-beacon-/234843?search=true</t>
        </r>
      </text>
    </comment>
    <comment ref="J17" authorId="0" shapeId="0" xr:uid="{BCDBBE77-AED7-44D2-A3C5-664B6EF65D3D}">
      <text>
        <r>
          <rPr>
            <b/>
            <sz val="10"/>
            <color rgb="FF000000"/>
            <rFont val="Liberation Sans"/>
          </rPr>
          <t>Owen Tolley:</t>
        </r>
        <r>
          <rPr>
            <sz val="10"/>
            <color rgb="FF000000"/>
            <rFont val="Liberation Sans"/>
          </rPr>
          <t xml:space="preserve">
https://clareandcompany.co.uk/wp-content/uploads/2019/06/Aldershot-Unit-5-Brook-Trading-Est.pdf
In 2019, yard rent was £2.15/sf based on the doc above. I am assuming it is now £4 based on general growth and supply shortages for warehouses and yard space in the south east.</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Owen Tolley</author>
  </authors>
  <commentList>
    <comment ref="G19" authorId="0" shapeId="0" xr:uid="{D97E3A7E-DD47-4839-9A9E-53E6B37744AE}">
      <text>
        <r>
          <rPr>
            <b/>
            <sz val="10"/>
            <color indexed="81"/>
            <rFont val="Tahoma"/>
            <family val="2"/>
          </rPr>
          <t>Owen Tolley:</t>
        </r>
        <r>
          <rPr>
            <sz val="10"/>
            <color indexed="81"/>
            <rFont val="Tahoma"/>
            <family val="2"/>
          </rPr>
          <t xml:space="preserve">
As NIY calculates the total acquisition cost including purchase costs, I used the purchase cost assumption to adjust the total cost downwards to get the gross purchase price.</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Owen Tolley</author>
  </authors>
  <commentList>
    <comment ref="M4" authorId="0" shapeId="0" xr:uid="{F4CCAFB6-22BA-49BD-BC3C-A7E26BF285B1}">
      <text>
        <r>
          <rPr>
            <b/>
            <sz val="10"/>
            <color indexed="81"/>
            <rFont val="Tahoma"/>
            <family val="2"/>
          </rPr>
          <t>Owen Tolley:</t>
        </r>
        <r>
          <rPr>
            <sz val="10"/>
            <color indexed="81"/>
            <rFont val="Tahoma"/>
            <family val="2"/>
          </rPr>
          <t xml:space="preserve">
Reversion value year</t>
        </r>
      </text>
    </comment>
    <comment ref="K7" authorId="0" shapeId="0" xr:uid="{CC54CC70-6816-468C-9E7A-5901E80E09C3}">
      <text>
        <r>
          <rPr>
            <b/>
            <sz val="10"/>
            <color indexed="81"/>
            <rFont val="Tahoma"/>
            <family val="2"/>
          </rPr>
          <t>Owen Tolley:</t>
        </r>
        <r>
          <rPr>
            <sz val="10"/>
            <color indexed="81"/>
            <rFont val="Tahoma"/>
            <family val="2"/>
          </rPr>
          <t xml:space="preserve">
To refine this model further, I need to capture that the rental review would happen mid-way through the year as there is a 6 month void period. Here I am assuming that the new, higher rent comes into effect for the whole year.</t>
        </r>
      </text>
    </comment>
    <comment ref="F8" authorId="0" shapeId="0" xr:uid="{48870672-095E-4249-843D-2872449CE3CA}">
      <text>
        <r>
          <rPr>
            <b/>
            <sz val="10"/>
            <color indexed="81"/>
            <rFont val="Tahoma"/>
            <family val="2"/>
          </rPr>
          <t>Owen Tolley:</t>
        </r>
        <r>
          <rPr>
            <sz val="10"/>
            <color indexed="81"/>
            <rFont val="Tahoma"/>
            <family val="2"/>
          </rPr>
          <t xml:space="preserve">
This formula is asking how many months of the rent-free period fall inside this year. It works out when the rent free period ends (K14 + N14), takes the earlier of the two to find the last rent-free month that could fall in the year. It works out when this year starts or when the void ends, whichever is later.
Then it subtracts to get the months of free rent in the year and divides by 12 to make it annual.</t>
        </r>
      </text>
    </comment>
    <comment ref="F22" authorId="0" shapeId="0" xr:uid="{909BCDE3-A89E-4D5B-A93B-D8F55063DA02}">
      <text>
        <r>
          <rPr>
            <b/>
            <sz val="10"/>
            <color indexed="81"/>
            <rFont val="Tahoma"/>
            <family val="2"/>
          </rPr>
          <t>Owen Tolley:</t>
        </r>
        <r>
          <rPr>
            <sz val="10"/>
            <color indexed="81"/>
            <rFont val="Tahoma"/>
            <family val="2"/>
          </rPr>
          <t xml:space="preserve">
Same concept as for rental concessions. This calculates how many void months are falling within the year.</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Owen Tolley</author>
  </authors>
  <commentList>
    <comment ref="E8" authorId="0" shapeId="0" xr:uid="{CDAB2EE9-0CE6-461F-B78E-A51327675509}">
      <text>
        <r>
          <rPr>
            <b/>
            <sz val="10"/>
            <color indexed="81"/>
            <rFont val="Tahoma"/>
            <family val="2"/>
          </rPr>
          <t>Owen Tolley:</t>
        </r>
        <r>
          <rPr>
            <sz val="10"/>
            <color indexed="81"/>
            <rFont val="Tahoma"/>
            <family val="2"/>
          </rPr>
          <t xml:space="preserve">
For simplicity of a first model, I have just made the loan term = hold period.</t>
        </r>
      </text>
    </comment>
  </commentList>
</comments>
</file>

<file path=xl/sharedStrings.xml><?xml version="1.0" encoding="utf-8"?>
<sst xmlns="http://schemas.openxmlformats.org/spreadsheetml/2006/main" count="287" uniqueCount="202">
  <si>
    <t>INVESTMENT SUMMARY</t>
  </si>
  <si>
    <t>LOCATION</t>
  </si>
  <si>
    <t>PHYSICAL DESCRIPTION</t>
  </si>
  <si>
    <t>Property Name</t>
  </si>
  <si>
    <t>Unit 4 - Monkton Park</t>
  </si>
  <si>
    <t>Gross Internal Area (GIA)</t>
  </si>
  <si>
    <t>Address</t>
  </si>
  <si>
    <t>Unit 4, Monkton Park, Farnham Trading Estate</t>
  </si>
  <si>
    <t>Buildings</t>
  </si>
  <si>
    <t>Floors</t>
  </si>
  <si>
    <t>Postcode</t>
  </si>
  <si>
    <t>GU9 9PA</t>
  </si>
  <si>
    <t>City, County</t>
  </si>
  <si>
    <t>Farnham, Surrey</t>
  </si>
  <si>
    <t>Year Built</t>
  </si>
  <si>
    <t>1985-1988</t>
  </si>
  <si>
    <t>Year Renovated</t>
  </si>
  <si>
    <t>Country</t>
  </si>
  <si>
    <t>United Kingdom</t>
  </si>
  <si>
    <t>Parking Spaces</t>
  </si>
  <si>
    <t>Parking Ratio</t>
  </si>
  <si>
    <t>Eaves Height</t>
  </si>
  <si>
    <t>EPC Rating</t>
  </si>
  <si>
    <t>B</t>
  </si>
  <si>
    <t>INVESTMENT ASSUMPTIONS</t>
  </si>
  <si>
    <t>ASSUMED LEASE TERMS</t>
  </si>
  <si>
    <t>Analysis Start Date</t>
  </si>
  <si>
    <t>Tenant</t>
  </si>
  <si>
    <t>Unknown Occupier</t>
  </si>
  <si>
    <t>Lease Type</t>
  </si>
  <si>
    <t>FRI Lease</t>
  </si>
  <si>
    <t>Analysis Period End</t>
  </si>
  <si>
    <t>Lease Length</t>
  </si>
  <si>
    <t>Reversion Year End</t>
  </si>
  <si>
    <t>ERV (£ psf)</t>
  </si>
  <si>
    <t>ERV (£ p.a.)</t>
  </si>
  <si>
    <t>UNIT 4, MONKTON PARK FARNHAM</t>
  </si>
  <si>
    <t>Town</t>
  </si>
  <si>
    <t>SF</t>
  </si>
  <si>
    <t>VOA Rateable Value</t>
  </si>
  <si>
    <t>VOA Rent/SF</t>
  </si>
  <si>
    <t>Unit 4 Monkton Park, Farnham Trading Estate</t>
  </si>
  <si>
    <t>Farnham</t>
  </si>
  <si>
    <t>Comparables at Advertised Rate</t>
  </si>
  <si>
    <t>Adv. Rent</t>
  </si>
  <si>
    <t>Adv. Rent / SF</t>
  </si>
  <si>
    <t>VOA to Adv. Rent Scaling</t>
  </si>
  <si>
    <t>Distance from prop.</t>
  </si>
  <si>
    <t>Notes</t>
  </si>
  <si>
    <t>Aspen, Greenhills Rural Enterprise Centre, Tilford Road</t>
  </si>
  <si>
    <t>GU10 2DZ</t>
  </si>
  <si>
    <t>15m drive, 6.0 miles</t>
  </si>
  <si>
    <t>Smaller unit, 2m lower eaves height, non-prime area a 15m drive outside of Farnham, not renovated</t>
  </si>
  <si>
    <t>Unit 5 Brook Trading Estate, Deadbrook Lane</t>
  </si>
  <si>
    <t>Aldershot</t>
  </si>
  <si>
    <t>GU12 4XB</t>
  </si>
  <si>
    <t>9m drive, 2.8 miles</t>
  </si>
  <si>
    <t>Newly refurbished (lower spec than Monkton), access to a larger 6,500 sq/ft yard which I wil need to adjust for</t>
  </si>
  <si>
    <t>Unit 4, Beacon Hill Logistics Park</t>
  </si>
  <si>
    <t>Fleet</t>
  </si>
  <si>
    <t>GU52 8DY</t>
  </si>
  <si>
    <t>11m drive, 5.1 miles</t>
  </si>
  <si>
    <t>A great comparable, great connections to roads like Monkton, newly refurbed to a high standard</t>
  </si>
  <si>
    <t>Normalised Comparables to Estimated Market Rent</t>
  </si>
  <si>
    <t>Neg. Assumption</t>
  </si>
  <si>
    <t>Yard SF</t>
  </si>
  <si>
    <t>Yard Rent/SF</t>
  </si>
  <si>
    <t>Yard Rent</t>
  </si>
  <si>
    <t>Normalised Mkt. Rent</t>
  </si>
  <si>
    <t>Mkt. Rent / SF</t>
  </si>
  <si>
    <t>VOA to Mkt. Rent Scaling</t>
  </si>
  <si>
    <t>Average VOA Scaling</t>
  </si>
  <si>
    <t>Est. Mkt. Rent / SF</t>
  </si>
  <si>
    <t>Mkt. Rent</t>
  </si>
  <si>
    <t>Entry NIY</t>
  </si>
  <si>
    <t>LEASE-UP ASSUMPTIONS</t>
  </si>
  <si>
    <t>Void period</t>
  </si>
  <si>
    <t>Rent-free period</t>
  </si>
  <si>
    <t>Rateable Value (2026)</t>
  </si>
  <si>
    <t>Service Charge (p.a.)</t>
  </si>
  <si>
    <t>Service Charge (psf)</t>
  </si>
  <si>
    <t>Market Rental Growth (%)</t>
  </si>
  <si>
    <t>Acquisition fees</t>
  </si>
  <si>
    <t>VALUATION SUMMARY</t>
  </si>
  <si>
    <t>Acquisition</t>
  </si>
  <si>
    <t>Reversion</t>
  </si>
  <si>
    <t>PROPERTY-LEVEL RISK AND RETURN METRICS</t>
  </si>
  <si>
    <t>Notes.</t>
  </si>
  <si>
    <t>REVENUE</t>
  </si>
  <si>
    <t>ACQUISITION PRO FORMA</t>
  </si>
  <si>
    <t>STABILISED INCOME</t>
  </si>
  <si>
    <t>Gross Rent (ERV)</t>
  </si>
  <si>
    <t>Total Rental Revenue</t>
  </si>
  <si>
    <t>PSF</t>
  </si>
  <si>
    <t>Pro Forma</t>
  </si>
  <si>
    <t>Concessions</t>
  </si>
  <si>
    <t>Total Effective Gross Revenue</t>
  </si>
  <si>
    <t>NON-RECOVERABLE OPERATING EXPENSES</t>
  </si>
  <si>
    <t>Leasing costs (% of ERV)</t>
  </si>
  <si>
    <t>Mgmt. fee (% of ERV)</t>
  </si>
  <si>
    <t>Adjusted for 6 month free rent period upon signing of tenant</t>
  </si>
  <si>
    <t>Property Management Fee</t>
  </si>
  <si>
    <t>Total Operating Expenses</t>
  </si>
  <si>
    <t>NET OPERATING INCOME</t>
  </si>
  <si>
    <t>VOID PERIOD COSTS</t>
  </si>
  <si>
    <t>Service Charge</t>
  </si>
  <si>
    <t>Empty Business Rates</t>
  </si>
  <si>
    <t>Total Void Costs</t>
  </si>
  <si>
    <t>p.a.</t>
  </si>
  <si>
    <t>STABILISATION COSTS</t>
  </si>
  <si>
    <t>Total Acquisition Cost</t>
  </si>
  <si>
    <t>Purchase Price</t>
  </si>
  <si>
    <t>Purchase Costs</t>
  </si>
  <si>
    <t>Adjusted using the purchase cost assumption to arrive at a gross purchase price</t>
  </si>
  <si>
    <t>LEASING COSTS</t>
  </si>
  <si>
    <t>Total Leasing Costs</t>
  </si>
  <si>
    <t>Leasing Costs</t>
  </si>
  <si>
    <t>OPERATING STATEMENT</t>
  </si>
  <si>
    <t>OPERATING CASH FLOW</t>
  </si>
  <si>
    <t>Year</t>
  </si>
  <si>
    <t>Month Ending</t>
  </si>
  <si>
    <t>Total Stabilisation Costs</t>
  </si>
  <si>
    <t>NON-RECOVERABLE OpEx</t>
  </si>
  <si>
    <t>Void Period Costs</t>
  </si>
  <si>
    <t>Cash Flow from Operations</t>
  </si>
  <si>
    <t>Debt Service</t>
  </si>
  <si>
    <t>Cash Flow after Financing</t>
  </si>
  <si>
    <t>PERMANENT DEBT</t>
  </si>
  <si>
    <t>LOAN ASSUMPTIONS</t>
  </si>
  <si>
    <t>Loan Amount</t>
  </si>
  <si>
    <t>Loan Fees</t>
  </si>
  <si>
    <t>Loan Proceeds</t>
  </si>
  <si>
    <t>Interest Rate</t>
  </si>
  <si>
    <t>Amortisation Type</t>
  </si>
  <si>
    <t>Non-amortising</t>
  </si>
  <si>
    <t>Loan Payoff</t>
  </si>
  <si>
    <t>NOI</t>
  </si>
  <si>
    <t>DSCR</t>
  </si>
  <si>
    <t>Debt Yield</t>
  </si>
  <si>
    <t>Loan Term</t>
  </si>
  <si>
    <t>Interest Payment (p.a.)</t>
  </si>
  <si>
    <t>REVERSION ASSUMPTIONS</t>
  </si>
  <si>
    <t>ACQUISITION COST</t>
  </si>
  <si>
    <t>REVERSION PRO FORMA</t>
  </si>
  <si>
    <t xml:space="preserve">Year Ending = </t>
  </si>
  <si>
    <t>Projected</t>
  </si>
  <si>
    <t>Year 8</t>
  </si>
  <si>
    <t>Net from Reversion</t>
  </si>
  <si>
    <t>Reversion Value</t>
  </si>
  <si>
    <t>Selling Costs</t>
  </si>
  <si>
    <t>PROPERTY-LEVEL RETURNS</t>
  </si>
  <si>
    <t>UNLEVERED RETURNS</t>
  </si>
  <si>
    <t>INVESTMENT CASH FLOWS</t>
  </si>
  <si>
    <t>OPERATING CASH FLOWS</t>
  </si>
  <si>
    <t>Effective Gross Revenue</t>
  </si>
  <si>
    <t>Operating Expenses</t>
  </si>
  <si>
    <t>Net Operating Income</t>
  </si>
  <si>
    <t>Stabilisation Costs</t>
  </si>
  <si>
    <t>REVERSION CASH FLOWS</t>
  </si>
  <si>
    <t>Net Proceeds from Reversion</t>
  </si>
  <si>
    <t>UNLEVERED NET CASH FLOW</t>
  </si>
  <si>
    <t>Unlevered IRR</t>
  </si>
  <si>
    <t>Unlevered EMx</t>
  </si>
  <si>
    <t>Net Profit</t>
  </si>
  <si>
    <t>LEVERED RETURNS</t>
  </si>
  <si>
    <t>Levered IRR</t>
  </si>
  <si>
    <t>Levered EMx</t>
  </si>
  <si>
    <t>Cash from Operations</t>
  </si>
  <si>
    <t>Equity Required</t>
  </si>
  <si>
    <t>LEVERED NET CASH FLOW</t>
  </si>
  <si>
    <t>Cash-on-Cash Return</t>
  </si>
  <si>
    <t>Non-recoverable Operating Expenses</t>
  </si>
  <si>
    <t>Net Initial Yield</t>
  </si>
  <si>
    <t>Property Value</t>
  </si>
  <si>
    <t>UNLEVERED</t>
  </si>
  <si>
    <t>LEVERED</t>
  </si>
  <si>
    <t>IRR</t>
  </si>
  <si>
    <t>EMx</t>
  </si>
  <si>
    <t>Avg. Cash-on-Cash</t>
  </si>
  <si>
    <t>Avg. Rate of Return</t>
  </si>
  <si>
    <t>DEBT METRICS</t>
  </si>
  <si>
    <t>Min. DSCR</t>
  </si>
  <si>
    <t>Avg. DSCR</t>
  </si>
  <si>
    <t>Min. Debt Yield</t>
  </si>
  <si>
    <t>Avg. Debt Yield</t>
  </si>
  <si>
    <t>VOID COSTS ASSUMPTION</t>
  </si>
  <si>
    <t>Exit Yield</t>
  </si>
  <si>
    <t>Void Adjustment</t>
  </si>
  <si>
    <t>Formulas</t>
  </si>
  <si>
    <t>Cross-Sheet Links</t>
  </si>
  <si>
    <t>Hardcoded Inputs</t>
  </si>
  <si>
    <t>UORR Frequency</t>
  </si>
  <si>
    <t>Disposal costs</t>
  </si>
  <si>
    <t>Disposal Costs</t>
  </si>
  <si>
    <t>UBR Multiplier</t>
  </si>
  <si>
    <t>Gross Rent</t>
  </si>
  <si>
    <t>Interest Holiday Period</t>
  </si>
  <si>
    <t>Avg. Yield-on-Cost</t>
  </si>
  <si>
    <t>Yield-on-Cost</t>
  </si>
  <si>
    <t>Avg. VOA Scaling</t>
  </si>
  <si>
    <t>=</t>
  </si>
  <si>
    <t>OPERATING CASH FLOW SUMMARY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</si>
</sst>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3">
    <numFmt numFmtId="41" formatCode="_(* #,##0_);_(* \(#,##0\);_(* &quot;-&quot;_);_(@_)"/>
    <numFmt numFmtId="43" formatCode="_(* #,##0.00_);_(* \(#,##0.00\);_(* &quot;-&quot;??_);_(@_)"/>
    <numFmt numFmtId="164" formatCode="&quot;1:&quot;0&quot;m^2 GIA&quot;"/>
    <numFmt numFmtId="165" formatCode="0.00&quot;m (min)&quot;"/>
    <numFmt numFmtId="166" formatCode="[$-409]d\-mmm\-yy;@"/>
    <numFmt numFmtId="167" formatCode="&quot;Year &quot;0"/>
    <numFmt numFmtId="168" formatCode="0.0&quot; Years&quot;"/>
    <numFmt numFmtId="169" formatCode="0.00&quot;x&quot;"/>
    <numFmt numFmtId="170" formatCode="[$£-809]* #,##0.00&quot; &quot;;[$£-809]* &quot;(&quot;#,##0.00&quot;)&quot;;[$£-809]* &quot;-&quot;#&quot; &quot;;&quot; &quot;@&quot; &quot;"/>
    <numFmt numFmtId="171" formatCode="[$£-809]* #,##0&quot; &quot;;[$£-809]* &quot;(&quot;#,##0&quot;)&quot;;[$£-809]* &quot;- &quot;;&quot; &quot;@&quot; &quot;"/>
    <numFmt numFmtId="172" formatCode="#,##0&quot; SF&quot;"/>
    <numFmt numFmtId="173" formatCode="0\ &quot;months&quot;"/>
    <numFmt numFmtId="174" formatCode="_(* #,##0_);_(* \(#,##0\);_(* &quot;-&quot;??_);_(@_)"/>
    <numFmt numFmtId="175" formatCode="0.0%"/>
    <numFmt numFmtId="176" formatCode="0.00\ &quot;/ SF&quot;"/>
    <numFmt numFmtId="177" formatCode="_(* #,##0.00_);_(* \(#,##0.00\);_(* &quot;-&quot;_);_(@_)"/>
    <numFmt numFmtId="178" formatCode="[$-409]mmm/yy;@"/>
    <numFmt numFmtId="179" formatCode="0%\ &quot;LTV&quot;"/>
    <numFmt numFmtId="180" formatCode="0\ &quot;Years&quot;\ "/>
    <numFmt numFmtId="181" formatCode="&quot;Year&quot;\ 0"/>
    <numFmt numFmtId="182" formatCode="0.00%;\(0.00%\)"/>
    <numFmt numFmtId="183" formatCode="0.00&quot;x&quot;;\(0.00\)&quot;x&quot;"/>
    <numFmt numFmtId="184" formatCode="0\ &quot;year(s)&quot;"/>
  </numFmts>
  <fonts count="20">
    <font>
      <sz val="14"/>
      <color theme="1"/>
      <name val="Aptos Narrow"/>
      <family val="2"/>
      <scheme val="minor"/>
    </font>
    <font>
      <sz val="14"/>
      <color theme="1"/>
      <name val="Aptos Narrow"/>
      <family val="2"/>
      <scheme val="minor"/>
    </font>
    <font>
      <sz val="14"/>
      <color rgb="FF000000"/>
      <name val="Tw Cen MT"/>
      <family val="2"/>
    </font>
    <font>
      <sz val="10"/>
      <color rgb="FF000000"/>
      <name val="Liberation Sans"/>
    </font>
    <font>
      <b/>
      <sz val="10"/>
      <color rgb="FF000000"/>
      <name val="Tahoma"/>
      <family val="2"/>
    </font>
    <font>
      <sz val="10"/>
      <color rgb="FF000000"/>
      <name val="Tahoma"/>
      <family val="2"/>
    </font>
    <font>
      <sz val="10"/>
      <color indexed="81"/>
      <name val="Tahoma"/>
      <family val="2"/>
    </font>
    <font>
      <b/>
      <sz val="10"/>
      <color indexed="81"/>
      <name val="Tahoma"/>
      <family val="2"/>
    </font>
    <font>
      <b/>
      <sz val="10"/>
      <color rgb="FF000000"/>
      <name val="Liberation Sans"/>
    </font>
    <font>
      <sz val="14"/>
      <color rgb="FFFFFFFF"/>
      <name val="Tw Cen MT"/>
      <family val="2"/>
    </font>
    <font>
      <sz val="14"/>
      <color theme="1"/>
      <name val="Tw Cen MT"/>
      <family val="2"/>
    </font>
    <font>
      <sz val="14"/>
      <color rgb="FF0000FF"/>
      <name val="Tw Cen MT"/>
      <family val="2"/>
    </font>
    <font>
      <sz val="14"/>
      <color rgb="FF00B050"/>
      <name val="Tw Cen MT"/>
      <family val="2"/>
    </font>
    <font>
      <sz val="14"/>
      <color theme="0"/>
      <name val="Tw Cen MT"/>
      <family val="2"/>
    </font>
    <font>
      <u val="singleAccounting"/>
      <sz val="14"/>
      <color theme="1"/>
      <name val="Tw Cen MT"/>
      <family val="2"/>
    </font>
    <font>
      <sz val="14"/>
      <color theme="0" tint="-0.499984740745262"/>
      <name val="Tw Cen MT"/>
      <family val="2"/>
    </font>
    <font>
      <u val="singleAccounting"/>
      <sz val="14"/>
      <color theme="0" tint="-0.499984740745262"/>
      <name val="Tw Cen MT"/>
      <family val="2"/>
    </font>
    <font>
      <u val="singleAccounting"/>
      <sz val="14"/>
      <color rgb="FF00B050"/>
      <name val="Tw Cen MT"/>
      <family val="2"/>
    </font>
    <font>
      <i/>
      <sz val="12"/>
      <color theme="1"/>
      <name val="Tw Cen MT"/>
      <family val="2"/>
    </font>
    <font>
      <u/>
      <sz val="14"/>
      <color theme="1"/>
      <name val="Tw Cen MT"/>
      <family val="2"/>
    </font>
  </fonts>
  <fills count="9">
    <fill>
      <patternFill patternType="none"/>
    </fill>
    <fill>
      <patternFill patternType="gray125"/>
    </fill>
    <fill>
      <patternFill patternType="solid">
        <fgColor rgb="FF0070C0"/>
        <bgColor rgb="FF0070C0"/>
      </patternFill>
    </fill>
    <fill>
      <patternFill patternType="solid">
        <fgColor rgb="FFB8D3EF"/>
        <bgColor rgb="FFB8D3EF"/>
      </patternFill>
    </fill>
    <fill>
      <patternFill patternType="solid">
        <fgColor theme="3" tint="0.89999084444715716"/>
        <bgColor indexed="64"/>
      </patternFill>
    </fill>
    <fill>
      <patternFill patternType="solid">
        <fgColor theme="3" tint="0.89999084444715716"/>
        <bgColor rgb="FFBEDCF3"/>
      </patternFill>
    </fill>
    <fill>
      <patternFill patternType="solid">
        <fgColor rgb="FF0070C0"/>
        <bgColor indexed="64"/>
      </patternFill>
    </fill>
    <fill>
      <patternFill patternType="solid">
        <fgColor theme="0" tint="-4.9989318521683403E-2"/>
        <bgColor indexed="64"/>
      </patternFill>
    </fill>
    <fill>
      <patternFill patternType="solid">
        <fgColor theme="0"/>
        <bgColor indexed="64"/>
      </patternFill>
    </fill>
  </fills>
  <borders count="1">
    <border>
      <left/>
      <right/>
      <top/>
      <bottom/>
      <diagonal/>
    </border>
  </borders>
  <cellStyleXfs count="4">
    <xf numFmtId="0" fontId="0" fillId="0" borderId="0"/>
    <xf numFmtId="9" fontId="1" fillId="0" borderId="0" applyFont="0" applyFill="0" applyBorder="0" applyAlignment="0" applyProtection="0"/>
    <xf numFmtId="0" fontId="2" fillId="0" borderId="0" applyNumberFormat="0" applyBorder="0" applyProtection="0"/>
    <xf numFmtId="0" fontId="3" fillId="0" borderId="0" applyNumberFormat="0" applyBorder="0" applyProtection="0"/>
  </cellStyleXfs>
  <cellXfs count="84">
    <xf numFmtId="0" fontId="0" fillId="0" borderId="0" xfId="0"/>
    <xf numFmtId="0" fontId="9" fillId="2" borderId="0" xfId="0" applyFont="1" applyFill="1"/>
    <xf numFmtId="0" fontId="10" fillId="2" borderId="0" xfId="0" applyFont="1" applyFill="1"/>
    <xf numFmtId="0" fontId="9" fillId="2" borderId="0" xfId="0" applyFont="1" applyFill="1" applyAlignment="1">
      <alignment horizontal="right"/>
    </xf>
    <xf numFmtId="0" fontId="10" fillId="0" borderId="0" xfId="0" applyFont="1" applyAlignment="1">
      <alignment horizontal="left"/>
    </xf>
    <xf numFmtId="0" fontId="10" fillId="0" borderId="0" xfId="0" applyFont="1"/>
    <xf numFmtId="0" fontId="11" fillId="0" borderId="0" xfId="0" applyFont="1" applyAlignment="1">
      <alignment horizontal="right"/>
    </xf>
    <xf numFmtId="172" fontId="11" fillId="0" borderId="0" xfId="0" applyNumberFormat="1" applyFont="1"/>
    <xf numFmtId="0" fontId="11" fillId="0" borderId="0" xfId="0" applyFont="1"/>
    <xf numFmtId="164" fontId="10" fillId="0" borderId="0" xfId="1" applyNumberFormat="1" applyFont="1" applyAlignment="1">
      <alignment horizontal="right"/>
    </xf>
    <xf numFmtId="0" fontId="10" fillId="0" borderId="0" xfId="0" applyFont="1" applyAlignment="1">
      <alignment horizontal="left" indent="1"/>
    </xf>
    <xf numFmtId="165" fontId="11" fillId="0" borderId="0" xfId="0" applyNumberFormat="1" applyFont="1" applyAlignment="1">
      <alignment horizontal="right"/>
    </xf>
    <xf numFmtId="166" fontId="11" fillId="0" borderId="0" xfId="0" applyNumberFormat="1" applyFont="1" applyAlignment="1">
      <alignment horizontal="right"/>
    </xf>
    <xf numFmtId="167" fontId="10" fillId="0" borderId="0" xfId="0" applyNumberFormat="1" applyFont="1"/>
    <xf numFmtId="168" fontId="10" fillId="0" borderId="0" xfId="0" applyNumberFormat="1" applyFont="1" applyAlignment="1">
      <alignment horizontal="right"/>
    </xf>
    <xf numFmtId="43" fontId="11" fillId="0" borderId="0" xfId="0" applyNumberFormat="1" applyFont="1"/>
    <xf numFmtId="174" fontId="10" fillId="0" borderId="0" xfId="0" applyNumberFormat="1" applyFont="1"/>
    <xf numFmtId="10" fontId="11" fillId="0" borderId="0" xfId="1" applyNumberFormat="1" applyFont="1" applyAlignment="1">
      <alignment horizontal="right"/>
    </xf>
    <xf numFmtId="173" fontId="11" fillId="0" borderId="0" xfId="0" applyNumberFormat="1" applyFont="1"/>
    <xf numFmtId="175" fontId="11" fillId="0" borderId="0" xfId="1" applyNumberFormat="1" applyFont="1"/>
    <xf numFmtId="174" fontId="11" fillId="0" borderId="0" xfId="0" applyNumberFormat="1" applyFont="1"/>
    <xf numFmtId="176" fontId="10" fillId="0" borderId="0" xfId="0" applyNumberFormat="1" applyFont="1"/>
    <xf numFmtId="0" fontId="10" fillId="0" borderId="0" xfId="0" applyFont="1" applyAlignment="1">
      <alignment horizontal="right"/>
    </xf>
    <xf numFmtId="3" fontId="12" fillId="0" borderId="0" xfId="0" applyNumberFormat="1" applyFont="1" applyAlignment="1">
      <alignment horizontal="right"/>
    </xf>
    <xf numFmtId="170" fontId="10" fillId="0" borderId="0" xfId="0" applyNumberFormat="1" applyFont="1"/>
    <xf numFmtId="3" fontId="11" fillId="0" borderId="0" xfId="0" applyNumberFormat="1" applyFont="1" applyAlignment="1">
      <alignment horizontal="right"/>
    </xf>
    <xf numFmtId="169" fontId="10" fillId="0" borderId="0" xfId="0" applyNumberFormat="1" applyFont="1"/>
    <xf numFmtId="0" fontId="10" fillId="0" borderId="0" xfId="0" applyFont="1" applyAlignment="1">
      <alignment wrapText="1"/>
    </xf>
    <xf numFmtId="0" fontId="10" fillId="0" borderId="0" xfId="0" applyFont="1" applyAlignment="1">
      <alignment vertical="center" wrapText="1"/>
    </xf>
    <xf numFmtId="9" fontId="11" fillId="0" borderId="0" xfId="0" applyNumberFormat="1" applyFont="1"/>
    <xf numFmtId="171" fontId="10" fillId="0" borderId="0" xfId="0" applyNumberFormat="1" applyFont="1" applyAlignment="1">
      <alignment horizontal="left"/>
    </xf>
    <xf numFmtId="3" fontId="2" fillId="0" borderId="0" xfId="0" applyNumberFormat="1" applyFont="1" applyAlignment="1">
      <alignment horizontal="right"/>
    </xf>
    <xf numFmtId="0" fontId="2" fillId="0" borderId="0" xfId="3" applyFont="1" applyProtection="1"/>
    <xf numFmtId="0" fontId="10" fillId="4" borderId="0" xfId="0" applyFont="1" applyFill="1"/>
    <xf numFmtId="0" fontId="10" fillId="5" borderId="0" xfId="0" applyFont="1" applyFill="1"/>
    <xf numFmtId="0" fontId="10" fillId="4" borderId="0" xfId="0" applyFont="1" applyFill="1" applyAlignment="1">
      <alignment horizontal="right"/>
    </xf>
    <xf numFmtId="0" fontId="13" fillId="6" borderId="0" xfId="0" applyFont="1" applyFill="1"/>
    <xf numFmtId="41" fontId="10" fillId="0" borderId="0" xfId="0" applyNumberFormat="1" applyFont="1"/>
    <xf numFmtId="41" fontId="12" fillId="0" borderId="0" xfId="0" applyNumberFormat="1" applyFont="1"/>
    <xf numFmtId="177" fontId="10" fillId="0" borderId="0" xfId="0" applyNumberFormat="1" applyFont="1"/>
    <xf numFmtId="177" fontId="14" fillId="0" borderId="0" xfId="0" applyNumberFormat="1" applyFont="1"/>
    <xf numFmtId="41" fontId="14" fillId="0" borderId="0" xfId="0" applyNumberFormat="1" applyFont="1"/>
    <xf numFmtId="10" fontId="12" fillId="0" borderId="0" xfId="0" applyNumberFormat="1" applyFont="1"/>
    <xf numFmtId="10" fontId="11" fillId="0" borderId="0" xfId="0" applyNumberFormat="1" applyFont="1"/>
    <xf numFmtId="41" fontId="15" fillId="0" borderId="0" xfId="0" applyNumberFormat="1" applyFont="1"/>
    <xf numFmtId="41" fontId="16" fillId="0" borderId="0" xfId="0" applyNumberFormat="1" applyFont="1"/>
    <xf numFmtId="177" fontId="15" fillId="0" borderId="0" xfId="0" applyNumberFormat="1" applyFont="1"/>
    <xf numFmtId="10" fontId="10" fillId="0" borderId="0" xfId="0" applyNumberFormat="1" applyFont="1"/>
    <xf numFmtId="43" fontId="10" fillId="0" borderId="0" xfId="0" applyNumberFormat="1" applyFont="1"/>
    <xf numFmtId="178" fontId="10" fillId="0" borderId="0" xfId="0" applyNumberFormat="1" applyFont="1" applyAlignment="1">
      <alignment horizontal="right"/>
    </xf>
    <xf numFmtId="0" fontId="10" fillId="7" borderId="0" xfId="0" applyFont="1" applyFill="1"/>
    <xf numFmtId="41" fontId="10" fillId="7" borderId="0" xfId="0" applyNumberFormat="1" applyFont="1" applyFill="1"/>
    <xf numFmtId="0" fontId="10" fillId="6" borderId="0" xfId="0" applyFont="1" applyFill="1"/>
    <xf numFmtId="10" fontId="10" fillId="0" borderId="0" xfId="1" applyNumberFormat="1" applyFont="1"/>
    <xf numFmtId="10" fontId="11" fillId="0" borderId="0" xfId="1" applyNumberFormat="1" applyFont="1"/>
    <xf numFmtId="179" fontId="11" fillId="0" borderId="0" xfId="1" applyNumberFormat="1" applyFont="1"/>
    <xf numFmtId="178" fontId="12" fillId="0" borderId="0" xfId="0" applyNumberFormat="1" applyFont="1" applyAlignment="1">
      <alignment horizontal="right"/>
    </xf>
    <xf numFmtId="180" fontId="12" fillId="0" borderId="0" xfId="0" applyNumberFormat="1" applyFont="1"/>
    <xf numFmtId="41" fontId="11" fillId="0" borderId="0" xfId="0" applyNumberFormat="1" applyFont="1"/>
    <xf numFmtId="177" fontId="11" fillId="0" borderId="0" xfId="0" applyNumberFormat="1" applyFont="1"/>
    <xf numFmtId="41" fontId="10" fillId="0" borderId="0" xfId="0" applyNumberFormat="1" applyFont="1" applyAlignment="1">
      <alignment horizontal="left"/>
    </xf>
    <xf numFmtId="177" fontId="10" fillId="0" borderId="0" xfId="0" applyNumberFormat="1" applyFont="1" applyAlignment="1">
      <alignment horizontal="left"/>
    </xf>
    <xf numFmtId="41" fontId="2" fillId="0" borderId="0" xfId="0" applyNumberFormat="1" applyFont="1" applyAlignment="1">
      <alignment horizontal="left"/>
    </xf>
    <xf numFmtId="43" fontId="10" fillId="3" borderId="0" xfId="0" applyNumberFormat="1" applyFont="1" applyFill="1"/>
    <xf numFmtId="178" fontId="12" fillId="4" borderId="0" xfId="0" applyNumberFormat="1" applyFont="1" applyFill="1" applyAlignment="1">
      <alignment horizontal="right"/>
    </xf>
    <xf numFmtId="41" fontId="17" fillId="0" borderId="0" xfId="0" applyNumberFormat="1" applyFont="1"/>
    <xf numFmtId="43" fontId="14" fillId="0" borderId="0" xfId="0" applyNumberFormat="1" applyFont="1"/>
    <xf numFmtId="0" fontId="10" fillId="4" borderId="0" xfId="0" applyFont="1" applyFill="1" applyAlignment="1">
      <alignment horizontal="left"/>
    </xf>
    <xf numFmtId="181" fontId="10" fillId="4" borderId="0" xfId="0" applyNumberFormat="1" applyFont="1" applyFill="1"/>
    <xf numFmtId="0" fontId="18" fillId="0" borderId="0" xfId="0" applyFont="1" applyAlignment="1">
      <alignment horizontal="right"/>
    </xf>
    <xf numFmtId="182" fontId="18" fillId="0" borderId="0" xfId="1" applyNumberFormat="1" applyFont="1"/>
    <xf numFmtId="0" fontId="12" fillId="0" borderId="0" xfId="0" applyFont="1"/>
    <xf numFmtId="41" fontId="10" fillId="3" borderId="0" xfId="0" applyNumberFormat="1" applyFont="1" applyFill="1"/>
    <xf numFmtId="183" fontId="10" fillId="0" borderId="0" xfId="0" applyNumberFormat="1" applyFont="1"/>
    <xf numFmtId="182" fontId="10" fillId="0" borderId="0" xfId="1" applyNumberFormat="1" applyFont="1"/>
    <xf numFmtId="184" fontId="11" fillId="0" borderId="0" xfId="0" applyNumberFormat="1" applyFont="1"/>
    <xf numFmtId="183" fontId="10" fillId="0" borderId="0" xfId="0" applyNumberFormat="1" applyFont="1" applyAlignment="1">
      <alignment horizontal="right"/>
    </xf>
    <xf numFmtId="0" fontId="10" fillId="8" borderId="0" xfId="0" applyFont="1" applyFill="1"/>
    <xf numFmtId="0" fontId="10" fillId="0" borderId="0" xfId="0" applyFont="1" applyAlignment="1">
      <alignment horizontal="center"/>
    </xf>
    <xf numFmtId="3" fontId="10" fillId="0" borderId="0" xfId="0" applyNumberFormat="1" applyFont="1" applyAlignment="1">
      <alignment horizontal="center"/>
    </xf>
    <xf numFmtId="169" fontId="10" fillId="0" borderId="0" xfId="0" applyNumberFormat="1" applyFont="1" applyAlignment="1">
      <alignment horizontal="center"/>
    </xf>
    <xf numFmtId="0" fontId="10" fillId="0" borderId="0" xfId="0" applyFont="1" applyAlignment="1">
      <alignment horizontal="left" wrapText="1"/>
    </xf>
    <xf numFmtId="169" fontId="10" fillId="0" borderId="0" xfId="0" applyNumberFormat="1" applyFont="1" applyAlignment="1">
      <alignment horizontal="right"/>
    </xf>
    <xf numFmtId="169" fontId="19" fillId="0" borderId="0" xfId="0" applyNumberFormat="1" applyFont="1"/>
  </cellXfs>
  <cellStyles count="4">
    <cellStyle name="Default" xfId="2" xr:uid="{687A1572-C373-46C7-A21B-6B2AA3439D5B}"/>
    <cellStyle name="Normal" xfId="0" builtinId="0" customBuiltin="1"/>
    <cellStyle name="Normal 2" xfId="3" xr:uid="{FEDCB592-B686-40BE-BB43-4E164354E1DD}"/>
    <cellStyle name="Percent" xfId="1" builtinId="5" customBuiltin="1"/>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800" b="0" i="0" u="none" strike="noStrike" kern="1200" spc="0" baseline="0">
                <a:solidFill>
                  <a:schemeClr val="tx1">
                    <a:lumMod val="65000"/>
                    <a:lumOff val="35000"/>
                  </a:schemeClr>
                </a:solidFill>
                <a:latin typeface="+mn-lt"/>
                <a:ea typeface="+mn-ea"/>
                <a:cs typeface="+mn-cs"/>
              </a:defRPr>
            </a:pPr>
            <a:r>
              <a:rPr lang="en-GB" sz="1800">
                <a:latin typeface="Tw Cen MT" panose="020B0602020104020603" pitchFamily="34" charset="0"/>
              </a:rPr>
              <a:t>Net Operating</a:t>
            </a:r>
            <a:r>
              <a:rPr lang="en-GB" sz="1800" baseline="0">
                <a:latin typeface="Tw Cen MT" panose="020B0602020104020603" pitchFamily="34" charset="0"/>
              </a:rPr>
              <a:t> Income by Year</a:t>
            </a:r>
            <a:endParaRPr lang="en-GB" sz="1800">
              <a:latin typeface="Tw Cen MT" panose="020B0602020104020603" pitchFamily="34" charset="0"/>
            </a:endParaRPr>
          </a:p>
        </c:rich>
      </c:tx>
      <c:overlay val="0"/>
      <c:spPr>
        <a:noFill/>
        <a:ln>
          <a:noFill/>
        </a:ln>
        <a:effectLst/>
      </c:spPr>
      <c:txPr>
        <a:bodyPr rot="0" spcFirstLastPara="1" vertOverflow="ellipsis" vert="horz" wrap="square" anchor="ctr" anchorCtr="1"/>
        <a:lstStyle/>
        <a:p>
          <a:pPr>
            <a:defRPr sz="18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0"/>
          <c:order val="0"/>
          <c:spPr>
            <a:solidFill>
              <a:schemeClr val="accent1"/>
            </a:solidFill>
            <a:ln>
              <a:noFill/>
            </a:ln>
            <a:effectLst/>
          </c:spPr>
          <c:invertIfNegative val="0"/>
          <c:cat>
            <c:numRef>
              <c:f>Summary!$C$31:$I$31</c:f>
              <c:numCache>
                <c:formatCode>General</c:formatCode>
                <c:ptCount val="7"/>
                <c:pt idx="0">
                  <c:v>1</c:v>
                </c:pt>
                <c:pt idx="1">
                  <c:v>2</c:v>
                </c:pt>
                <c:pt idx="2">
                  <c:v>3</c:v>
                </c:pt>
                <c:pt idx="3">
                  <c:v>4</c:v>
                </c:pt>
                <c:pt idx="4">
                  <c:v>5</c:v>
                </c:pt>
                <c:pt idx="5">
                  <c:v>6</c:v>
                </c:pt>
                <c:pt idx="6">
                  <c:v>7</c:v>
                </c:pt>
              </c:numCache>
            </c:numRef>
          </c:cat>
          <c:val>
            <c:numRef>
              <c:f>Summary!$C$32:$I$32</c:f>
              <c:numCache>
                <c:formatCode>_(* #,##0_);_(* \(#,##0\);_(* "-"_);_(@_)</c:formatCode>
                <c:ptCount val="7"/>
                <c:pt idx="0">
                  <c:v>-53246.941250000003</c:v>
                </c:pt>
                <c:pt idx="1">
                  <c:v>132868.41750000001</c:v>
                </c:pt>
                <c:pt idx="2">
                  <c:v>132868.41750000001</c:v>
                </c:pt>
                <c:pt idx="3">
                  <c:v>132868.41750000001</c:v>
                </c:pt>
                <c:pt idx="4">
                  <c:v>132868.41750000001</c:v>
                </c:pt>
                <c:pt idx="5">
                  <c:v>154030.9117010184</c:v>
                </c:pt>
                <c:pt idx="6">
                  <c:v>154030.9117010184</c:v>
                </c:pt>
              </c:numCache>
            </c:numRef>
          </c:val>
          <c:extLst>
            <c:ext xmlns:c16="http://schemas.microsoft.com/office/drawing/2014/chart" uri="{C3380CC4-5D6E-409C-BE32-E72D297353CC}">
              <c16:uniqueId val="{00000000-227F-42C6-830C-430EE34098C5}"/>
            </c:ext>
          </c:extLst>
        </c:ser>
        <c:dLbls>
          <c:showLegendKey val="0"/>
          <c:showVal val="0"/>
          <c:showCatName val="0"/>
          <c:showSerName val="0"/>
          <c:showPercent val="0"/>
          <c:showBubbleSize val="0"/>
        </c:dLbls>
        <c:gapWidth val="219"/>
        <c:overlap val="-27"/>
        <c:axId val="1856894672"/>
        <c:axId val="420286960"/>
      </c:barChart>
      <c:catAx>
        <c:axId val="185689467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50" b="0" i="0" u="none" strike="noStrike" kern="1200" baseline="0">
                <a:solidFill>
                  <a:schemeClr val="tx1">
                    <a:lumMod val="65000"/>
                    <a:lumOff val="35000"/>
                  </a:schemeClr>
                </a:solidFill>
                <a:latin typeface="Tw Cen MT" panose="020B0602020104020603" pitchFamily="34" charset="0"/>
                <a:ea typeface="+mn-ea"/>
                <a:cs typeface="+mn-cs"/>
              </a:defRPr>
            </a:pPr>
            <a:endParaRPr lang="en-US"/>
          </a:p>
        </c:txPr>
        <c:crossAx val="420286960"/>
        <c:crosses val="autoZero"/>
        <c:auto val="1"/>
        <c:lblAlgn val="ctr"/>
        <c:lblOffset val="100"/>
        <c:noMultiLvlLbl val="0"/>
      </c:catAx>
      <c:valAx>
        <c:axId val="420286960"/>
        <c:scaling>
          <c:orientation val="minMax"/>
        </c:scaling>
        <c:delete val="0"/>
        <c:axPos val="l"/>
        <c:majorGridlines>
          <c:spPr>
            <a:ln w="9525" cap="flat" cmpd="sng" algn="ctr">
              <a:solidFill>
                <a:schemeClr val="tx1">
                  <a:lumMod val="15000"/>
                  <a:lumOff val="85000"/>
                </a:schemeClr>
              </a:solidFill>
              <a:round/>
            </a:ln>
            <a:effectLst/>
          </c:spPr>
        </c:majorGridlines>
        <c:numFmt formatCode="_(* #,##0_);_(* \(#,##0\);_(* &quot;-&quot;_);_(@_)" sourceLinked="1"/>
        <c:majorTickMark val="none"/>
        <c:minorTickMark val="none"/>
        <c:tickLblPos val="nextTo"/>
        <c:spPr>
          <a:noFill/>
          <a:ln>
            <a:noFill/>
          </a:ln>
          <a:effectLst/>
        </c:spPr>
        <c:txPr>
          <a:bodyPr rot="-60000000" spcFirstLastPara="1" vertOverflow="ellipsis" vert="horz" wrap="square" anchor="ctr" anchorCtr="1"/>
          <a:lstStyle/>
          <a:p>
            <a:pPr>
              <a:defRPr sz="1050" b="0" i="0" u="none" strike="noStrike" kern="1200" baseline="0">
                <a:solidFill>
                  <a:schemeClr val="tx1">
                    <a:lumMod val="65000"/>
                    <a:lumOff val="35000"/>
                  </a:schemeClr>
                </a:solidFill>
                <a:latin typeface="Tw Cen MT" panose="020B0602020104020603" pitchFamily="34" charset="0"/>
                <a:ea typeface="+mn-ea"/>
                <a:cs typeface="+mn-cs"/>
              </a:defRPr>
            </a:pPr>
            <a:endParaRPr lang="en-US"/>
          </a:p>
        </c:txPr>
        <c:crossAx val="1856894672"/>
        <c:crosses val="autoZero"/>
        <c:crossBetween val="between"/>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1</xdr:col>
      <xdr:colOff>0</xdr:colOff>
      <xdr:row>29</xdr:row>
      <xdr:rowOff>211999</xdr:rowOff>
    </xdr:from>
    <xdr:to>
      <xdr:col>14</xdr:col>
      <xdr:colOff>0</xdr:colOff>
      <xdr:row>50</xdr:row>
      <xdr:rowOff>192677</xdr:rowOff>
    </xdr:to>
    <xdr:graphicFrame macro="">
      <xdr:nvGraphicFramePr>
        <xdr:cNvPr id="7" name="Chart 6">
          <a:extLst>
            <a:ext uri="{FF2B5EF4-FFF2-40B4-BE49-F238E27FC236}">
              <a16:creationId xmlns:a16="http://schemas.microsoft.com/office/drawing/2014/main" id="{393556EA-F575-1E0C-B551-0D4AF2904CC7}"/>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xml><?xml version="1.0" encoding="utf-8"?>
<xdr:wsDr xmlns:xdr="http://schemas.openxmlformats.org/drawingml/2006/spreadsheetDrawing" xmlns:a="http://schemas.openxmlformats.org/drawingml/2006/main">
  <xdr:oneCellAnchor>
    <xdr:from>
      <xdr:col>8</xdr:col>
      <xdr:colOff>0</xdr:colOff>
      <xdr:row>2</xdr:row>
      <xdr:rowOff>0</xdr:rowOff>
    </xdr:from>
    <xdr:ext cx="11756568" cy="892629"/>
    <xdr:sp macro="" textlink="">
      <xdr:nvSpPr>
        <xdr:cNvPr id="2" name="TextBox 1">
          <a:extLst>
            <a:ext uri="{FF2B5EF4-FFF2-40B4-BE49-F238E27FC236}">
              <a16:creationId xmlns:a16="http://schemas.microsoft.com/office/drawing/2014/main" id="{838C9BE3-B2F1-3328-3990-DF63D0C58CBD}"/>
            </a:ext>
          </a:extLst>
        </xdr:cNvPr>
        <xdr:cNvSpPr txBox="1"/>
      </xdr:nvSpPr>
      <xdr:spPr>
        <a:xfrm>
          <a:off x="11179629" y="446314"/>
          <a:ext cx="11756568" cy="892629"/>
        </a:xfrm>
        <a:prstGeom prst="rect">
          <a:avLst/>
        </a:prstGeom>
        <a:noFill/>
        <a:ln w="9528" cap="flat">
          <a:noFill/>
          <a:prstDash val="solid"/>
          <a:miter/>
        </a:ln>
      </xdr:spPr>
      <xdr:txBody>
        <a:bodyPr vert="horz" wrap="square" lIns="91440" tIns="45720" rIns="91440" bIns="4572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r>
            <a:rPr lang="en-GB" sz="1200" b="0" i="0" u="none" strike="noStrike" kern="0" cap="none" spc="0" baseline="0">
              <a:solidFill>
                <a:schemeClr val="tx1"/>
              </a:solidFill>
              <a:uFillTx/>
              <a:latin typeface="Tw Cen MT"/>
            </a:rPr>
            <a:t>Unit 4 at Monkton Park, along with neighbouring units within the business park, has recently undergone a renovation and is vacant. To derive an estimated rental value, I used 2026 VOA rateable values (based on April 2024 estimated rental prices) of similar listed properties in the local area to create an average VOA scaling factor to estimate what rental growth has been since April 2024 and the difference between VOA-assessed rental values and what leasing agents rent them for. I also adjusted for the yard space in one of the comparable properties and applied a 5% negotiation haircut to the advertised rents.</a:t>
          </a:r>
        </a:p>
      </xdr:txBody>
    </xdr:sp>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ebextensions/_rels/taskpanes.xml.rels><?xml version="1.0" encoding="UTF-8" standalone="yes"?>
<Relationships xmlns="http://schemas.openxmlformats.org/package/2006/relationships"><Relationship Id="rId2" Type="http://schemas.microsoft.com/office/2011/relationships/webextension" Target="webextension2.xml"/><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350" row="6">
    <wetp:webextensionref xmlns:r="http://schemas.openxmlformats.org/officeDocument/2006/relationships" r:id="rId1"/>
  </wetp:taskpane>
  <wetp:taskpane dockstate="right" visibility="0" width="350" row="12">
    <wetp:webextensionref xmlns:r="http://schemas.openxmlformats.org/officeDocument/2006/relationships" r:id="rId2"/>
  </wetp:taskpane>
</wetp:taskpanes>
</file>

<file path=xl/webextensions/webextension1.xml><?xml version="1.0" encoding="utf-8"?>
<we:webextension xmlns:we="http://schemas.microsoft.com/office/webextensions/webextension/2010/11" id="{B91F1308-896F-4697-8F40-490B5C0F17A6}">
  <we:reference id="wa200006813" version="1.0.0.0" store="en-US" storeType="OMEX"/>
  <we:alternateReferences>
    <we:reference id="WA200006813" version="1.0.0.0" store="" storeType="OMEX"/>
  </we:alternateReferences>
  <we:properties/>
  <we:bindings/>
  <we:snapshot xmlns:r="http://schemas.openxmlformats.org/officeDocument/2006/relationships"/>
  <we:extLst>
    <a:ext xmlns:a="http://schemas.openxmlformats.org/drawingml/2006/main" uri="{D87F86FE-615C-45B5-9D79-34F1136793EB}">
      <we:containsCustomFunctions/>
    </a:ext>
    <a:ext xmlns:a="http://schemas.openxmlformats.org/drawingml/2006/main" uri="{7C84B067-C214-45C3-A712-C9D94CD141B2}">
      <we:customFunctionIdList>
        <we:customFunctionIds>_xldudf_AGGREDIUM</we:customFunctionIds>
        <we:customFunctionIds>_xldudf_FUN</we:customFunctionIds>
      </we:customFunctionIdList>
    </a:ext>
  </we:extLst>
</we:webextension>
</file>

<file path=xl/webextensions/webextension2.xml><?xml version="1.0" encoding="utf-8"?>
<we:webextension xmlns:we="http://schemas.microsoft.com/office/webextensions/webextension/2010/11" id="{75AC7B9C-E143-41AD-AF91-5B554BD7DA27}">
  <we:reference id="e92d832f-df29-4ef2-b21d-33d8d02f9938" version="1.0.0.0" store="file:\\LT-PF4GP8E1\Octus_staging_addin" storeType="Filesystem"/>
  <we:alternateReferences/>
  <we:properties/>
  <we:bindings/>
  <we:snapshot xmlns:r="http://schemas.openxmlformats.org/officeDocument/2006/relationships"/>
  <we:extLst>
    <a:ext xmlns:a="http://schemas.openxmlformats.org/drawingml/2006/main" uri="{D87F86FE-615C-45B5-9D79-34F1136793EB}">
      <we:containsCustomFunctions/>
    </a:ext>
    <a:ext xmlns:a="http://schemas.openxmlformats.org/drawingml/2006/main" uri="{7C84B067-C214-45C3-A712-C9D94CD141B2}">
      <we:customFunctionIdList>
        <we:customFunctionIds>_xldudf_AGGREDIUM</we:customFunctionIds>
        <we:customFunctionIds>_xldudf_FUN</we:customFunctionIds>
      </we:customFunctionIdList>
    </a:ext>
  </we:extLst>
</we:webextension>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2" Type="http://schemas.openxmlformats.org/officeDocument/2006/relationships/comments" Target="../comments3.xml"/><Relationship Id="rId1" Type="http://schemas.openxmlformats.org/officeDocument/2006/relationships/vmlDrawing" Target="../drawings/vmlDrawing3.vml"/></Relationships>
</file>

<file path=xl/worksheets/_rels/sheet4.xml.rels><?xml version="1.0" encoding="UTF-8" standalone="yes"?>
<Relationships xmlns="http://schemas.openxmlformats.org/package/2006/relationships"><Relationship Id="rId2" Type="http://schemas.openxmlformats.org/officeDocument/2006/relationships/comments" Target="../comments4.xml"/><Relationship Id="rId1" Type="http://schemas.openxmlformats.org/officeDocument/2006/relationships/vmlDrawing" Target="../drawings/vmlDrawing4.vml"/></Relationships>
</file>

<file path=xl/worksheets/_rels/sheet5.xml.rels><?xml version="1.0" encoding="UTF-8" standalone="yes"?>
<Relationships xmlns="http://schemas.openxmlformats.org/package/2006/relationships"><Relationship Id="rId2" Type="http://schemas.openxmlformats.org/officeDocument/2006/relationships/comments" Target="../comments5.xml"/><Relationship Id="rId1" Type="http://schemas.openxmlformats.org/officeDocument/2006/relationships/vmlDrawing" Target="../drawings/vmlDrawing5.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5C88BD-149B-42F6-BED4-8DF30F7D7239}">
  <dimension ref="A1:Q53"/>
  <sheetViews>
    <sheetView showGridLines="0" tabSelected="1" zoomScale="70" zoomScaleNormal="70" workbookViewId="0">
      <selection activeCell="P10" sqref="P10"/>
    </sheetView>
  </sheetViews>
  <sheetFormatPr defaultColWidth="0" defaultRowHeight="18" zeroHeight="1"/>
  <cols>
    <col min="1" max="1" width="1.58203125" style="5" customWidth="1"/>
    <col min="2" max="5" width="10" style="5" customWidth="1"/>
    <col min="6" max="7" width="11.08203125" style="5" customWidth="1"/>
    <col min="8" max="8" width="1.83203125" style="5" customWidth="1"/>
    <col min="9" max="10" width="10" style="5" customWidth="1"/>
    <col min="11" max="11" width="11.4140625" style="5" customWidth="1"/>
    <col min="12" max="13" width="10" style="5" customWidth="1"/>
    <col min="14" max="14" width="13" style="5" bestFit="1" customWidth="1"/>
    <col min="15" max="15" width="1.58203125" style="5" customWidth="1"/>
    <col min="16" max="17" width="10" style="5" customWidth="1"/>
    <col min="18" max="16384" width="10" style="5" hidden="1"/>
  </cols>
  <sheetData>
    <row r="1" spans="2:16"/>
    <row r="2" spans="2:16">
      <c r="B2" s="1" t="s">
        <v>0</v>
      </c>
      <c r="C2" s="2"/>
      <c r="D2" s="2"/>
      <c r="E2" s="2"/>
      <c r="F2" s="2"/>
      <c r="G2" s="2"/>
      <c r="H2" s="2"/>
      <c r="I2" s="2"/>
      <c r="J2" s="2"/>
      <c r="K2" s="2"/>
      <c r="L2" s="2"/>
      <c r="M2" s="2"/>
      <c r="N2" s="3"/>
      <c r="P2" s="8" t="s">
        <v>190</v>
      </c>
    </row>
    <row r="3" spans="2:16">
      <c r="B3" s="34" t="s">
        <v>1</v>
      </c>
      <c r="C3" s="34"/>
      <c r="D3" s="34"/>
      <c r="E3" s="34"/>
      <c r="F3" s="34"/>
      <c r="G3" s="34"/>
      <c r="H3" s="34"/>
      <c r="I3" s="34" t="s">
        <v>2</v>
      </c>
      <c r="J3" s="34"/>
      <c r="K3" s="34"/>
      <c r="L3" s="34"/>
      <c r="M3" s="34"/>
      <c r="N3" s="34"/>
      <c r="P3" s="5" t="s">
        <v>188</v>
      </c>
    </row>
    <row r="4" spans="2:16">
      <c r="B4" s="4" t="s">
        <v>3</v>
      </c>
      <c r="G4" s="6" t="s">
        <v>4</v>
      </c>
      <c r="I4" s="5" t="s">
        <v>5</v>
      </c>
      <c r="N4" s="7">
        <v>8697</v>
      </c>
      <c r="P4" s="71" t="s">
        <v>189</v>
      </c>
    </row>
    <row r="5" spans="2:16">
      <c r="B5" s="4" t="s">
        <v>6</v>
      </c>
      <c r="G5" s="6" t="s">
        <v>7</v>
      </c>
      <c r="I5" s="5" t="s">
        <v>8</v>
      </c>
      <c r="K5" s="8">
        <v>1</v>
      </c>
      <c r="L5" s="5" t="s">
        <v>9</v>
      </c>
      <c r="N5" s="8">
        <v>2</v>
      </c>
    </row>
    <row r="6" spans="2:16">
      <c r="B6" s="4" t="s">
        <v>10</v>
      </c>
      <c r="D6" s="6" t="s">
        <v>11</v>
      </c>
      <c r="E6" s="5" t="s">
        <v>12</v>
      </c>
      <c r="G6" s="6" t="s">
        <v>13</v>
      </c>
      <c r="I6" s="5" t="s">
        <v>14</v>
      </c>
      <c r="K6" s="6" t="s">
        <v>15</v>
      </c>
      <c r="L6" s="5" t="s">
        <v>16</v>
      </c>
      <c r="N6" s="8">
        <v>2026</v>
      </c>
    </row>
    <row r="7" spans="2:16">
      <c r="B7" s="4" t="s">
        <v>17</v>
      </c>
      <c r="G7" s="6" t="s">
        <v>18</v>
      </c>
      <c r="I7" s="5" t="s">
        <v>19</v>
      </c>
      <c r="K7" s="8">
        <v>20</v>
      </c>
      <c r="L7" s="5" t="s">
        <v>20</v>
      </c>
      <c r="N7" s="9" t="str">
        <f>"1:"&amp;ROUND((N4*0.092903)/K7,0)&amp;"m² GIA"</f>
        <v>1:40m² GIA</v>
      </c>
    </row>
    <row r="8" spans="2:16">
      <c r="B8" s="10"/>
      <c r="G8" s="6"/>
      <c r="I8" s="5" t="s">
        <v>21</v>
      </c>
      <c r="K8" s="11">
        <v>5.75</v>
      </c>
      <c r="L8" s="5" t="s">
        <v>22</v>
      </c>
      <c r="N8" s="6" t="s">
        <v>23</v>
      </c>
    </row>
    <row r="9" spans="2:16">
      <c r="B9" s="34" t="s">
        <v>24</v>
      </c>
      <c r="C9" s="34"/>
      <c r="D9" s="34"/>
      <c r="E9" s="34"/>
      <c r="F9" s="34"/>
      <c r="G9" s="34"/>
      <c r="H9" s="34"/>
      <c r="I9" s="34" t="s">
        <v>25</v>
      </c>
      <c r="J9" s="34"/>
      <c r="K9" s="34"/>
      <c r="L9" s="34"/>
      <c r="M9" s="34"/>
      <c r="N9" s="34"/>
    </row>
    <row r="10" spans="2:16">
      <c r="B10" s="4" t="s">
        <v>26</v>
      </c>
      <c r="G10" s="12">
        <v>46235</v>
      </c>
      <c r="I10" s="5" t="s">
        <v>27</v>
      </c>
      <c r="K10" s="6" t="s">
        <v>28</v>
      </c>
      <c r="L10" s="5" t="s">
        <v>29</v>
      </c>
      <c r="N10" s="6" t="s">
        <v>30</v>
      </c>
    </row>
    <row r="11" spans="2:16">
      <c r="B11" s="4" t="s">
        <v>31</v>
      </c>
      <c r="G11" s="13">
        <v>7</v>
      </c>
      <c r="I11" s="5" t="s">
        <v>32</v>
      </c>
      <c r="K11" s="14">
        <v>10</v>
      </c>
      <c r="L11" s="5" t="s">
        <v>191</v>
      </c>
      <c r="N11" s="14">
        <v>5</v>
      </c>
    </row>
    <row r="12" spans="2:16">
      <c r="B12" s="4" t="s">
        <v>33</v>
      </c>
      <c r="G12" s="13">
        <f>G11+1</f>
        <v>8</v>
      </c>
      <c r="I12" s="5" t="s">
        <v>34</v>
      </c>
      <c r="K12" s="15">
        <v>15.75</v>
      </c>
      <c r="L12" s="5" t="s">
        <v>35</v>
      </c>
      <c r="N12" s="16">
        <f>K12*GIA</f>
        <v>136977.75</v>
      </c>
    </row>
    <row r="13" spans="2:16">
      <c r="B13" s="4" t="s">
        <v>74</v>
      </c>
      <c r="D13" s="17">
        <f>5.25%+1.25%</f>
        <v>6.5000000000000002E-2</v>
      </c>
      <c r="E13" s="4" t="s">
        <v>186</v>
      </c>
      <c r="G13" s="17">
        <v>7.0000000000000007E-2</v>
      </c>
      <c r="I13" s="34" t="s">
        <v>75</v>
      </c>
      <c r="J13" s="34"/>
      <c r="K13" s="34"/>
      <c r="L13" s="34"/>
      <c r="M13" s="34"/>
      <c r="N13" s="34"/>
    </row>
    <row r="14" spans="2:16">
      <c r="B14" s="4" t="s">
        <v>81</v>
      </c>
      <c r="G14" s="17">
        <v>0.03</v>
      </c>
      <c r="I14" s="5" t="s">
        <v>76</v>
      </c>
      <c r="K14" s="18">
        <v>6</v>
      </c>
      <c r="L14" s="5" t="s">
        <v>77</v>
      </c>
      <c r="N14" s="18">
        <v>6</v>
      </c>
    </row>
    <row r="15" spans="2:16">
      <c r="B15" s="4" t="s">
        <v>82</v>
      </c>
      <c r="G15" s="17">
        <v>6.5000000000000002E-2</v>
      </c>
      <c r="I15" s="5" t="s">
        <v>98</v>
      </c>
      <c r="K15" s="17">
        <v>0.1</v>
      </c>
      <c r="L15" s="5" t="s">
        <v>99</v>
      </c>
      <c r="N15" s="17">
        <v>0.03</v>
      </c>
    </row>
    <row r="16" spans="2:16">
      <c r="B16" s="4" t="s">
        <v>192</v>
      </c>
      <c r="G16" s="17">
        <v>0.02</v>
      </c>
      <c r="I16" s="34" t="s">
        <v>185</v>
      </c>
      <c r="J16" s="34"/>
      <c r="K16" s="34"/>
      <c r="L16" s="34"/>
      <c r="M16" s="34"/>
      <c r="N16" s="34"/>
    </row>
    <row r="17" spans="2:14">
      <c r="I17" s="5" t="s">
        <v>194</v>
      </c>
      <c r="K17" s="19">
        <v>0.55500000000000005</v>
      </c>
      <c r="L17" s="5" t="s">
        <v>78</v>
      </c>
      <c r="N17" s="20">
        <v>118000</v>
      </c>
    </row>
    <row r="18" spans="2:14">
      <c r="I18" s="5" t="s">
        <v>79</v>
      </c>
      <c r="K18" s="20">
        <v>9499</v>
      </c>
      <c r="L18" s="5" t="s">
        <v>80</v>
      </c>
      <c r="N18" s="21">
        <f>K18/GIA</f>
        <v>1.0922157065654823</v>
      </c>
    </row>
    <row r="19" spans="2:14">
      <c r="B19" s="33" t="s">
        <v>83</v>
      </c>
      <c r="C19" s="33"/>
      <c r="D19" s="33"/>
      <c r="E19" s="33"/>
      <c r="F19" s="35" t="s">
        <v>84</v>
      </c>
      <c r="G19" s="35" t="s">
        <v>85</v>
      </c>
      <c r="H19" s="33"/>
      <c r="I19" s="33" t="s">
        <v>86</v>
      </c>
      <c r="J19" s="33"/>
      <c r="K19" s="33"/>
      <c r="L19" s="33"/>
      <c r="M19" s="33"/>
      <c r="N19" s="33"/>
    </row>
    <row r="20" spans="2:14">
      <c r="B20" s="10" t="s">
        <v>154</v>
      </c>
      <c r="F20" s="38">
        <f>'Acquisition and Stabilisation'!G9</f>
        <v>136977.75</v>
      </c>
      <c r="G20" s="38">
        <f>Reversion!J9</f>
        <v>158794.7543309468</v>
      </c>
      <c r="I20" s="5" t="s">
        <v>174</v>
      </c>
      <c r="L20" s="5" t="s">
        <v>175</v>
      </c>
    </row>
    <row r="21" spans="2:14" ht="19.8">
      <c r="B21" s="10" t="s">
        <v>171</v>
      </c>
      <c r="F21" s="65">
        <f>'Acquisition and Stabilisation'!G13</f>
        <v>-4109.3324999999995</v>
      </c>
      <c r="G21" s="65">
        <f>Reversion!J13</f>
        <v>-4763.8426299284038</v>
      </c>
      <c r="I21" s="10" t="s">
        <v>176</v>
      </c>
      <c r="K21" s="47">
        <f>'Property Returns'!F25</f>
        <v>5.8780492115270144E-2</v>
      </c>
      <c r="L21" s="10" t="s">
        <v>176</v>
      </c>
      <c r="N21" s="47">
        <f>'Property Returns'!F48</f>
        <v>5.7809796859249474E-2</v>
      </c>
    </row>
    <row r="22" spans="2:14">
      <c r="B22" s="4" t="s">
        <v>156</v>
      </c>
      <c r="F22" s="37">
        <f>SUM(F20:F21)</f>
        <v>132868.41750000001</v>
      </c>
      <c r="G22" s="37">
        <f>SUM(G20:G21)</f>
        <v>154030.9117010184</v>
      </c>
      <c r="I22" s="10" t="s">
        <v>177</v>
      </c>
      <c r="K22" s="26">
        <f>'Property Returns'!F26</f>
        <v>1.4284361158508814</v>
      </c>
      <c r="L22" s="10" t="s">
        <v>177</v>
      </c>
      <c r="N22" s="26">
        <f>'Property Returns'!F49</f>
        <v>1.4235441670708104</v>
      </c>
    </row>
    <row r="23" spans="2:14">
      <c r="B23" s="10" t="s">
        <v>172</v>
      </c>
      <c r="F23" s="47">
        <f>D13</f>
        <v>6.5000000000000002E-2</v>
      </c>
      <c r="G23" s="47">
        <f>G13</f>
        <v>7.0000000000000007E-2</v>
      </c>
      <c r="I23" s="10" t="s">
        <v>197</v>
      </c>
      <c r="K23" s="47">
        <f>AVERAGE('Property Returns'!G16:M16)</f>
        <v>5.495098819410392E-2</v>
      </c>
      <c r="L23" s="10" t="s">
        <v>178</v>
      </c>
      <c r="N23" s="47">
        <f>AVERAGE('Property Returns'!G39:M39)</f>
        <v>5.0040004257404694E-2</v>
      </c>
    </row>
    <row r="24" spans="2:14">
      <c r="B24" s="4" t="s">
        <v>173</v>
      </c>
      <c r="F24" s="38">
        <f>'Acquisition and Stabilisation'!G19</f>
        <v>1919370.4225352113</v>
      </c>
      <c r="G24" s="38">
        <f>Reversion!J19</f>
        <v>2200441.5957288342</v>
      </c>
      <c r="I24" s="10" t="s">
        <v>179</v>
      </c>
      <c r="K24" s="53">
        <f>-'Property Returns'!$F$27/Summary!$G$11/SUM('Property Returns'!F7:M7)</f>
        <v>6.2799474995961016E-2</v>
      </c>
      <c r="L24" s="10" t="s">
        <v>179</v>
      </c>
      <c r="N24" s="53">
        <f>-'Property Returns'!$F$50/Summary!$G$11/SUM('Property Returns'!$F$33:$M$33)</f>
        <v>6.3451149397215453E-2</v>
      </c>
    </row>
    <row r="25" spans="2:14"/>
    <row r="26" spans="2:14">
      <c r="I26" s="33" t="s">
        <v>180</v>
      </c>
      <c r="J26" s="33"/>
      <c r="K26" s="33"/>
      <c r="L26" s="33"/>
      <c r="M26" s="33"/>
      <c r="N26" s="33"/>
    </row>
    <row r="27" spans="2:14">
      <c r="I27" s="10" t="s">
        <v>181</v>
      </c>
      <c r="K27" s="73">
        <f>MIN('Debt Financing'!H10:N10)</f>
        <v>1.977857142857143</v>
      </c>
      <c r="L27" s="10" t="s">
        <v>183</v>
      </c>
      <c r="N27" s="74">
        <f>MIN('Debt Financing'!$H$11:$N$11)</f>
        <v>-2.1409793814432987E-3</v>
      </c>
    </row>
    <row r="28" spans="2:14">
      <c r="I28" s="10" t="s">
        <v>182</v>
      </c>
      <c r="K28" s="26">
        <f>AVERAGE('Debt Financing'!H10:N10)</f>
        <v>2.0828642646992144</v>
      </c>
      <c r="L28" s="10" t="s">
        <v>184</v>
      </c>
      <c r="N28" s="47">
        <f>AVERAGE('Debt Financing'!$H$11:$N$11)</f>
        <v>0.1246660016846038</v>
      </c>
    </row>
    <row r="29" spans="2:14">
      <c r="B29" s="33" t="s">
        <v>201</v>
      </c>
      <c r="C29" s="33"/>
      <c r="D29" s="33"/>
      <c r="E29" s="33"/>
      <c r="F29" s="33"/>
      <c r="G29" s="33"/>
      <c r="H29" s="33"/>
      <c r="I29" s="33"/>
      <c r="J29" s="33"/>
      <c r="K29" s="33"/>
      <c r="L29" s="33"/>
      <c r="M29" s="33"/>
      <c r="N29" s="33"/>
    </row>
    <row r="30" spans="2:14"/>
    <row r="31" spans="2:14">
      <c r="C31" s="5">
        <f>'Property Returns'!G3</f>
        <v>1</v>
      </c>
      <c r="D31" s="5">
        <f>'Property Returns'!H3</f>
        <v>2</v>
      </c>
      <c r="E31" s="5">
        <f>'Property Returns'!I3</f>
        <v>3</v>
      </c>
      <c r="F31" s="5">
        <f>'Property Returns'!J3</f>
        <v>4</v>
      </c>
      <c r="G31" s="5">
        <f>'Property Returns'!K3</f>
        <v>5</v>
      </c>
      <c r="H31" s="5">
        <f>'Property Returns'!L3</f>
        <v>6</v>
      </c>
      <c r="I31" s="5">
        <f>'Property Returns'!M3</f>
        <v>7</v>
      </c>
    </row>
    <row r="32" spans="2:14">
      <c r="C32" s="37">
        <f>'Property Returns'!G15</f>
        <v>-53246.941250000003</v>
      </c>
      <c r="D32" s="37">
        <f>'Property Returns'!H15</f>
        <v>132868.41750000001</v>
      </c>
      <c r="E32" s="37">
        <f>'Property Returns'!I15</f>
        <v>132868.41750000001</v>
      </c>
      <c r="F32" s="37">
        <f>'Property Returns'!J15</f>
        <v>132868.41750000001</v>
      </c>
      <c r="G32" s="37">
        <f>'Property Returns'!K15</f>
        <v>132868.41750000001</v>
      </c>
      <c r="H32" s="37">
        <f>'Property Returns'!L15</f>
        <v>154030.9117010184</v>
      </c>
      <c r="I32" s="37">
        <f>'Property Returns'!M15</f>
        <v>154030.9117010184</v>
      </c>
    </row>
    <row r="33" s="5" customFormat="1"/>
    <row r="34" s="5" customFormat="1"/>
    <row r="35" s="5" customFormat="1"/>
    <row r="36" s="5" customFormat="1"/>
    <row r="37" s="5" customFormat="1"/>
    <row r="38" s="5" customFormat="1"/>
    <row r="39" s="5" customFormat="1"/>
    <row r="40" s="5" customFormat="1"/>
    <row r="41" s="5" customFormat="1"/>
    <row r="42" s="5" customFormat="1"/>
    <row r="43" s="5" customFormat="1"/>
    <row r="44" s="5" customFormat="1"/>
    <row r="45" s="5" customFormat="1"/>
    <row r="46" s="5" customFormat="1"/>
    <row r="47" s="5" customFormat="1"/>
    <row r="48" s="5" customFormat="1"/>
    <row r="49" s="5" customFormat="1"/>
    <row r="50" s="5" customFormat="1"/>
    <row r="51" s="5" customFormat="1"/>
    <row r="52" s="5" customFormat="1"/>
    <row r="53" s="5" customFormat="1"/>
  </sheetData>
  <pageMargins left="0.70000000000000007" right="0.70000000000000007" top="0.75" bottom="0.75" header="0.30000000000000004" footer="0.30000000000000004"/>
  <pageSetup paperSize="9" scale="52" orientation="portrait" r:id="rId1"/>
  <colBreaks count="1" manualBreakCount="1">
    <brk id="15" max="27" man="1"/>
  </colBreaks>
  <drawing r:id="rId2"/>
  <legacyDrawing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374E58-D22C-4A61-83A9-D93A06CDD09C}">
  <dimension ref="A1:AD32"/>
  <sheetViews>
    <sheetView showGridLines="0" zoomScale="70" zoomScaleNormal="70" workbookViewId="0">
      <selection activeCell="J19" sqref="J19"/>
    </sheetView>
  </sheetViews>
  <sheetFormatPr defaultColWidth="0" defaultRowHeight="18" zeroHeight="1"/>
  <cols>
    <col min="1" max="1" width="1.83203125" style="5" customWidth="1"/>
    <col min="2" max="2" width="43.83203125" style="5" customWidth="1"/>
    <col min="3" max="5" width="10" style="5" customWidth="1"/>
    <col min="6" max="6" width="17.6640625" style="5" customWidth="1"/>
    <col min="7" max="7" width="11.6640625" style="5" customWidth="1"/>
    <col min="8" max="8" width="17.33203125" style="5" customWidth="1"/>
    <col min="9" max="9" width="16.08203125" style="5" customWidth="1"/>
    <col min="10" max="11" width="24.75" style="5" customWidth="1"/>
    <col min="12" max="12" width="29.6640625" style="5" customWidth="1"/>
    <col min="13" max="13" width="12.4140625" style="5" customWidth="1"/>
    <col min="14" max="14" width="20.6640625" style="5" customWidth="1"/>
    <col min="15" max="21" width="10" style="5" hidden="1" customWidth="1"/>
    <col min="22" max="22" width="1.83203125" style="5" customWidth="1"/>
    <col min="23" max="29" width="10" style="5" hidden="1" customWidth="1"/>
    <col min="30" max="30" width="1.83203125" style="5" hidden="1" customWidth="1"/>
    <col min="31" max="31" width="8.6640625" style="5" hidden="1" customWidth="1"/>
    <col min="32" max="16384" width="8.6640625" style="5" hidden="1"/>
  </cols>
  <sheetData>
    <row r="1" spans="2:17" s="32" customFormat="1">
      <c r="B1" s="5"/>
      <c r="C1" s="5"/>
      <c r="D1" s="5"/>
      <c r="E1" s="5"/>
      <c r="F1" s="5"/>
      <c r="G1" s="5"/>
      <c r="H1" s="5"/>
      <c r="I1" s="5"/>
      <c r="J1" s="5"/>
      <c r="K1" s="5"/>
      <c r="L1" s="5"/>
      <c r="M1" s="5"/>
      <c r="N1" s="5"/>
      <c r="O1" s="5"/>
      <c r="P1" s="5"/>
      <c r="Q1" s="5"/>
    </row>
    <row r="2" spans="2:17" s="32" customFormat="1" ht="17.25" customHeight="1">
      <c r="B2" s="1" t="s">
        <v>36</v>
      </c>
      <c r="C2" s="2"/>
      <c r="D2" s="2"/>
      <c r="E2" s="2"/>
      <c r="F2" s="2"/>
      <c r="G2" s="2"/>
      <c r="H2" s="2"/>
      <c r="I2" s="2"/>
      <c r="J2" s="2"/>
      <c r="K2" s="2"/>
      <c r="L2" s="2"/>
      <c r="M2" s="2"/>
      <c r="N2" s="2"/>
      <c r="O2" s="5"/>
      <c r="P2" s="5"/>
      <c r="Q2" s="2"/>
    </row>
    <row r="3" spans="2:17" s="32" customFormat="1" ht="17.25" customHeight="1">
      <c r="B3" s="4" t="s">
        <v>6</v>
      </c>
      <c r="C3" s="78" t="s">
        <v>37</v>
      </c>
      <c r="D3" s="78" t="s">
        <v>10</v>
      </c>
      <c r="E3" s="78" t="s">
        <v>38</v>
      </c>
      <c r="F3" s="4" t="s">
        <v>39</v>
      </c>
      <c r="G3" s="4" t="s">
        <v>40</v>
      </c>
      <c r="H3" s="4"/>
      <c r="I3" s="4"/>
      <c r="J3" s="4"/>
      <c r="K3" s="4"/>
      <c r="L3" s="5"/>
      <c r="M3" s="5"/>
      <c r="N3" s="5"/>
      <c r="O3" s="5"/>
      <c r="P3" s="5"/>
      <c r="Q3" s="5"/>
    </row>
    <row r="4" spans="2:17" s="32" customFormat="1" ht="17.25" customHeight="1">
      <c r="B4" s="4" t="s">
        <v>41</v>
      </c>
      <c r="C4" s="79" t="s">
        <v>42</v>
      </c>
      <c r="D4" s="79" t="s">
        <v>11</v>
      </c>
      <c r="E4" s="23">
        <f>GIA</f>
        <v>8697</v>
      </c>
      <c r="F4" s="38">
        <f>Summary!N17</f>
        <v>118000</v>
      </c>
      <c r="G4" s="61">
        <f>F4/E4</f>
        <v>13.567896975968726</v>
      </c>
      <c r="H4" s="24"/>
      <c r="I4" s="24"/>
      <c r="J4" s="24"/>
      <c r="K4" s="24"/>
      <c r="L4" s="5"/>
      <c r="M4" s="5"/>
      <c r="N4" s="5"/>
      <c r="O4" s="5"/>
      <c r="P4" s="5"/>
      <c r="Q4" s="5"/>
    </row>
    <row r="5" spans="2:17" s="32" customFormat="1">
      <c r="B5" s="5"/>
      <c r="C5" s="5"/>
      <c r="D5" s="5"/>
      <c r="E5" s="5"/>
      <c r="F5" s="5"/>
      <c r="G5" s="5"/>
      <c r="H5" s="5"/>
      <c r="I5" s="5"/>
      <c r="J5" s="5"/>
      <c r="K5" s="5"/>
      <c r="L5" s="5"/>
      <c r="M5" s="5"/>
      <c r="N5" s="5"/>
      <c r="O5" s="5"/>
      <c r="P5" s="5"/>
      <c r="Q5" s="5"/>
    </row>
    <row r="6" spans="2:17" s="32" customFormat="1">
      <c r="B6" s="5"/>
      <c r="C6" s="5"/>
      <c r="D6" s="5"/>
      <c r="E6" s="5"/>
      <c r="F6" s="5"/>
      <c r="G6" s="5"/>
      <c r="H6" s="5"/>
      <c r="I6" s="5"/>
      <c r="J6" s="5"/>
      <c r="K6" s="5"/>
      <c r="L6" s="5"/>
      <c r="M6" s="5"/>
      <c r="N6" s="5"/>
      <c r="O6" s="5"/>
      <c r="P6" s="5"/>
      <c r="Q6" s="5"/>
    </row>
    <row r="7" spans="2:17" s="32" customFormat="1" ht="17.25" customHeight="1">
      <c r="B7" s="1" t="s">
        <v>43</v>
      </c>
      <c r="C7" s="2"/>
      <c r="D7" s="2"/>
      <c r="E7" s="2"/>
      <c r="F7" s="2"/>
      <c r="G7" s="2"/>
      <c r="H7" s="2"/>
      <c r="I7" s="2"/>
      <c r="J7" s="2"/>
      <c r="K7" s="2"/>
      <c r="L7" s="2"/>
      <c r="M7" s="2"/>
      <c r="N7" s="2"/>
      <c r="O7" s="5"/>
      <c r="P7" s="5"/>
      <c r="Q7" s="2"/>
    </row>
    <row r="8" spans="2:17" s="32" customFormat="1" ht="17.25" customHeight="1">
      <c r="B8" s="5" t="s">
        <v>6</v>
      </c>
      <c r="C8" s="78" t="s">
        <v>37</v>
      </c>
      <c r="D8" s="78" t="s">
        <v>10</v>
      </c>
      <c r="E8" s="78" t="s">
        <v>38</v>
      </c>
      <c r="F8" s="78" t="s">
        <v>39</v>
      </c>
      <c r="G8" s="78" t="s">
        <v>40</v>
      </c>
      <c r="H8" s="78" t="s">
        <v>44</v>
      </c>
      <c r="I8" s="78" t="s">
        <v>45</v>
      </c>
      <c r="J8" s="5" t="s">
        <v>46</v>
      </c>
      <c r="K8" s="5" t="s">
        <v>47</v>
      </c>
      <c r="L8" s="5" t="s">
        <v>48</v>
      </c>
      <c r="M8" s="5"/>
      <c r="N8" s="5"/>
      <c r="O8" s="5"/>
      <c r="P8" s="5"/>
      <c r="Q8" s="5"/>
    </row>
    <row r="9" spans="2:17" s="32" customFormat="1" ht="66.75" customHeight="1">
      <c r="B9" s="81" t="s">
        <v>49</v>
      </c>
      <c r="C9" s="79" t="s">
        <v>42</v>
      </c>
      <c r="D9" s="78" t="s">
        <v>50</v>
      </c>
      <c r="E9" s="25">
        <v>6437</v>
      </c>
      <c r="F9" s="58">
        <v>69500</v>
      </c>
      <c r="G9" s="48">
        <f>F9/$E9</f>
        <v>10.796955103308996</v>
      </c>
      <c r="H9" s="58">
        <v>86950</v>
      </c>
      <c r="I9" s="61">
        <f>H9/$E9</f>
        <v>13.507845269535498</v>
      </c>
      <c r="J9" s="80">
        <f>I9/G9</f>
        <v>1.2510791366906473</v>
      </c>
      <c r="K9" s="27" t="s">
        <v>51</v>
      </c>
      <c r="L9" s="28" t="s">
        <v>52</v>
      </c>
      <c r="M9" s="5"/>
      <c r="N9" s="5"/>
      <c r="O9" s="5"/>
      <c r="P9" s="5"/>
      <c r="Q9" s="5"/>
    </row>
    <row r="10" spans="2:17" s="32" customFormat="1" ht="83.25" customHeight="1">
      <c r="B10" s="4" t="s">
        <v>53</v>
      </c>
      <c r="C10" s="78" t="s">
        <v>54</v>
      </c>
      <c r="D10" s="78" t="s">
        <v>55</v>
      </c>
      <c r="E10" s="25">
        <v>9090</v>
      </c>
      <c r="F10" s="58">
        <v>91500</v>
      </c>
      <c r="G10" s="48">
        <f>F10/$E10</f>
        <v>10.066006600660065</v>
      </c>
      <c r="H10" s="58">
        <v>141000</v>
      </c>
      <c r="I10" s="61">
        <f>H10/$E10</f>
        <v>15.511551155115512</v>
      </c>
      <c r="J10" s="80">
        <f>I10/G10</f>
        <v>1.5409836065573772</v>
      </c>
      <c r="K10" s="27" t="s">
        <v>56</v>
      </c>
      <c r="L10" s="28" t="s">
        <v>57</v>
      </c>
      <c r="M10" s="5"/>
      <c r="N10" s="5"/>
      <c r="O10" s="5"/>
      <c r="P10" s="5"/>
      <c r="Q10" s="5"/>
    </row>
    <row r="11" spans="2:17" s="32" customFormat="1" ht="66.75" customHeight="1">
      <c r="B11" s="4" t="s">
        <v>58</v>
      </c>
      <c r="C11" s="78" t="s">
        <v>59</v>
      </c>
      <c r="D11" s="78" t="s">
        <v>60</v>
      </c>
      <c r="E11" s="25">
        <v>7839</v>
      </c>
      <c r="F11" s="58">
        <v>102000</v>
      </c>
      <c r="G11" s="48">
        <f>F11/$E11</f>
        <v>13.011863758132415</v>
      </c>
      <c r="H11" s="58">
        <v>117585</v>
      </c>
      <c r="I11" s="61">
        <f>H11/$E11</f>
        <v>15</v>
      </c>
      <c r="J11" s="80">
        <f>I11/G11</f>
        <v>1.1527941176470589</v>
      </c>
      <c r="K11" s="27" t="s">
        <v>61</v>
      </c>
      <c r="L11" s="28" t="s">
        <v>62</v>
      </c>
      <c r="M11" s="5"/>
      <c r="N11" s="5"/>
      <c r="O11" s="5"/>
      <c r="P11" s="5"/>
      <c r="Q11" s="5"/>
    </row>
    <row r="12" spans="2:17" s="32" customFormat="1" ht="17.25" customHeight="1">
      <c r="B12" s="5"/>
      <c r="C12" s="5"/>
      <c r="D12" s="5"/>
      <c r="E12" s="5"/>
      <c r="F12" s="5"/>
      <c r="G12" s="5"/>
      <c r="H12" s="5"/>
      <c r="I12" s="5"/>
      <c r="J12" s="5"/>
      <c r="K12" s="5"/>
      <c r="L12" s="5"/>
      <c r="M12" s="5"/>
      <c r="N12" s="26"/>
      <c r="O12" s="5"/>
      <c r="P12" s="5"/>
      <c r="Q12" s="5"/>
    </row>
    <row r="13" spans="2:17" s="32" customFormat="1" ht="17.25" customHeight="1">
      <c r="B13" s="1" t="s">
        <v>63</v>
      </c>
      <c r="C13" s="2"/>
      <c r="D13" s="2"/>
      <c r="E13" s="2"/>
      <c r="F13" s="2"/>
      <c r="G13" s="2"/>
      <c r="H13" s="2"/>
      <c r="I13" s="2"/>
      <c r="J13" s="2"/>
      <c r="K13" s="2"/>
      <c r="L13" s="2"/>
      <c r="M13" s="2"/>
      <c r="N13" s="2"/>
      <c r="O13" s="5"/>
      <c r="P13" s="5"/>
      <c r="Q13" s="2"/>
    </row>
    <row r="14" spans="2:17" s="32" customFormat="1" ht="17.25" customHeight="1">
      <c r="B14" s="5"/>
      <c r="C14" s="5"/>
      <c r="D14" s="5"/>
      <c r="E14" s="5"/>
      <c r="F14" s="5"/>
      <c r="G14" s="5"/>
      <c r="H14" s="5"/>
      <c r="I14" s="5"/>
      <c r="J14" s="5"/>
      <c r="K14" s="5"/>
      <c r="L14" s="5"/>
      <c r="M14" s="5"/>
      <c r="N14" s="24"/>
      <c r="O14" s="5"/>
      <c r="P14" s="5"/>
      <c r="Q14" s="5"/>
    </row>
    <row r="15" spans="2:17" s="32" customFormat="1" ht="17.25" customHeight="1">
      <c r="B15" s="5" t="s">
        <v>6</v>
      </c>
      <c r="C15" s="78" t="s">
        <v>37</v>
      </c>
      <c r="D15" s="78" t="s">
        <v>10</v>
      </c>
      <c r="E15" s="78" t="s">
        <v>38</v>
      </c>
      <c r="F15" s="78" t="s">
        <v>39</v>
      </c>
      <c r="G15" s="78" t="s">
        <v>40</v>
      </c>
      <c r="H15" s="78" t="s">
        <v>64</v>
      </c>
      <c r="I15" s="22" t="s">
        <v>65</v>
      </c>
      <c r="J15" s="22" t="s">
        <v>66</v>
      </c>
      <c r="K15" s="22" t="s">
        <v>67</v>
      </c>
      <c r="L15" s="78" t="s">
        <v>68</v>
      </c>
      <c r="M15" s="78" t="s">
        <v>69</v>
      </c>
      <c r="N15" s="78" t="s">
        <v>70</v>
      </c>
      <c r="O15" s="5"/>
      <c r="P15" s="5"/>
      <c r="Q15" s="5"/>
    </row>
    <row r="16" spans="2:17" s="32" customFormat="1" ht="17.25" customHeight="1">
      <c r="B16" s="4" t="s">
        <v>49</v>
      </c>
      <c r="C16" s="79" t="s">
        <v>42</v>
      </c>
      <c r="D16" s="78" t="s">
        <v>50</v>
      </c>
      <c r="E16" s="25">
        <v>6437</v>
      </c>
      <c r="F16" s="58">
        <v>69500</v>
      </c>
      <c r="G16" s="48">
        <f>F16/$E16</f>
        <v>10.796955103308996</v>
      </c>
      <c r="H16" s="29">
        <v>0.95</v>
      </c>
      <c r="I16" s="29"/>
      <c r="J16" s="30"/>
      <c r="K16" s="30"/>
      <c r="L16" s="60">
        <f>H16*H9</f>
        <v>82602.5</v>
      </c>
      <c r="M16" s="61">
        <f>L16/E16</f>
        <v>12.832453006058723</v>
      </c>
      <c r="N16" s="26">
        <f>M16/G16</f>
        <v>1.1885251798561149</v>
      </c>
    </row>
    <row r="17" spans="2:14" s="32" customFormat="1" ht="17.25" customHeight="1">
      <c r="B17" s="4" t="s">
        <v>53</v>
      </c>
      <c r="C17" s="78" t="s">
        <v>54</v>
      </c>
      <c r="D17" s="78" t="s">
        <v>55</v>
      </c>
      <c r="E17" s="25">
        <v>9090</v>
      </c>
      <c r="F17" s="58">
        <v>91500</v>
      </c>
      <c r="G17" s="48">
        <f>F17/$E17</f>
        <v>10.066006600660065</v>
      </c>
      <c r="H17" s="29">
        <v>0.95</v>
      </c>
      <c r="I17" s="58">
        <v>6500</v>
      </c>
      <c r="J17" s="59">
        <v>4</v>
      </c>
      <c r="K17" s="60">
        <f>J17*I17</f>
        <v>26000</v>
      </c>
      <c r="L17" s="60">
        <f>(H10-K17)*H17</f>
        <v>109250</v>
      </c>
      <c r="M17" s="61">
        <f>L17/E17</f>
        <v>12.018701870187019</v>
      </c>
      <c r="N17" s="26">
        <f>M17/G17</f>
        <v>1.1939890710382515</v>
      </c>
    </row>
    <row r="18" spans="2:14" s="32" customFormat="1" ht="17.25" customHeight="1">
      <c r="B18" s="4" t="s">
        <v>58</v>
      </c>
      <c r="C18" s="78" t="s">
        <v>59</v>
      </c>
      <c r="D18" s="78" t="s">
        <v>60</v>
      </c>
      <c r="E18" s="25">
        <v>7839</v>
      </c>
      <c r="F18" s="58">
        <v>102000</v>
      </c>
      <c r="G18" s="48">
        <f>F18/$E18</f>
        <v>13.011863758132415</v>
      </c>
      <c r="H18" s="29">
        <v>0.95</v>
      </c>
      <c r="I18" s="29"/>
      <c r="J18" s="30"/>
      <c r="K18" s="30"/>
      <c r="L18" s="60">
        <f>H18*H11</f>
        <v>111705.75</v>
      </c>
      <c r="M18" s="61">
        <f>L18/E18</f>
        <v>14.25</v>
      </c>
      <c r="N18" s="83">
        <f>M18/G18</f>
        <v>1.0951544117647058</v>
      </c>
    </row>
    <row r="19" spans="2:14" s="32" customFormat="1" ht="17.25" customHeight="1">
      <c r="B19" s="4"/>
      <c r="C19" s="78"/>
      <c r="D19" s="78"/>
      <c r="E19" s="5"/>
      <c r="F19" s="5"/>
      <c r="G19" s="5"/>
      <c r="H19" s="5"/>
      <c r="I19" s="5"/>
      <c r="J19" s="5"/>
      <c r="K19" s="5"/>
      <c r="L19" s="22" t="s">
        <v>71</v>
      </c>
      <c r="M19" s="78" t="s">
        <v>200</v>
      </c>
      <c r="N19" s="82">
        <f>AVERAGE(N16:N18)</f>
        <v>1.1592228875530239</v>
      </c>
    </row>
    <row r="20" spans="2:14" s="32" customFormat="1" ht="17.25" customHeight="1">
      <c r="B20" s="4" t="s">
        <v>6</v>
      </c>
      <c r="C20" s="78" t="s">
        <v>37</v>
      </c>
      <c r="D20" s="78" t="s">
        <v>10</v>
      </c>
      <c r="E20" s="5" t="s">
        <v>38</v>
      </c>
      <c r="F20" s="5" t="s">
        <v>39</v>
      </c>
      <c r="G20" s="5" t="s">
        <v>40</v>
      </c>
      <c r="H20" s="77" t="s">
        <v>199</v>
      </c>
      <c r="I20" s="5" t="s">
        <v>72</v>
      </c>
      <c r="J20" s="5" t="s">
        <v>73</v>
      </c>
      <c r="K20" s="5"/>
      <c r="L20" s="5"/>
      <c r="M20" s="5"/>
      <c r="N20" s="5"/>
    </row>
    <row r="21" spans="2:14" s="32" customFormat="1" ht="17.25" customHeight="1">
      <c r="B21" s="4" t="str">
        <f t="shared" ref="B21:G21" si="0">B4</f>
        <v>Unit 4 Monkton Park, Farnham Trading Estate</v>
      </c>
      <c r="C21" s="79" t="str">
        <f t="shared" si="0"/>
        <v>Farnham</v>
      </c>
      <c r="D21" s="79" t="str">
        <f t="shared" si="0"/>
        <v>GU9 9PA</v>
      </c>
      <c r="E21" s="31">
        <f t="shared" si="0"/>
        <v>8697</v>
      </c>
      <c r="F21" s="62">
        <f t="shared" si="0"/>
        <v>118000</v>
      </c>
      <c r="G21" s="48">
        <f t="shared" si="0"/>
        <v>13.567896975968726</v>
      </c>
      <c r="H21" s="26">
        <f>N19</f>
        <v>1.1592228875530239</v>
      </c>
      <c r="I21" s="63">
        <f>G21*N19</f>
        <v>15.728216710504407</v>
      </c>
      <c r="J21" s="72">
        <f>I21*E21</f>
        <v>136788.30073125684</v>
      </c>
      <c r="K21" s="5"/>
      <c r="L21" s="5"/>
      <c r="M21" s="5"/>
      <c r="N21" s="26"/>
    </row>
    <row r="22" spans="2:14"/>
    <row r="23" spans="2:14"/>
    <row r="24" spans="2:14"/>
    <row r="25" spans="2:14"/>
    <row r="26" spans="2:14"/>
    <row r="27" spans="2:14"/>
    <row r="28" spans="2:14"/>
    <row r="29" spans="2:14"/>
    <row r="30" spans="2:14"/>
    <row r="31" spans="2:14"/>
    <row r="32" spans="2:14"/>
  </sheetData>
  <pageMargins left="0.70000000000000007" right="0.70000000000000007" top="0.69370000000000009" bottom="0.69370000000000009" header="0.30000000000000004" footer="0.30000000000000004"/>
  <pageSetup paperSize="0" fitToWidth="0" fitToHeight="0" orientation="portrait" horizontalDpi="0" verticalDpi="0" copies="0"/>
  <headerFooter alignWithMargins="0"/>
  <drawing r:id="rId1"/>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3552C9-167D-44D9-B3C1-5ED75F293F73}">
  <dimension ref="A1:O34"/>
  <sheetViews>
    <sheetView showGridLines="0" zoomScale="70" zoomScaleNormal="70" workbookViewId="0">
      <selection activeCell="G21" sqref="G21"/>
    </sheetView>
  </sheetViews>
  <sheetFormatPr defaultColWidth="0" defaultRowHeight="18" zeroHeight="1"/>
  <cols>
    <col min="1" max="1" width="1.58203125" style="5" customWidth="1"/>
    <col min="2" max="6" width="8.6640625" style="5" customWidth="1"/>
    <col min="7" max="7" width="11.25" style="5" customWidth="1"/>
    <col min="8" max="14" width="8.6640625" style="5" customWidth="1"/>
    <col min="15" max="15" width="1.58203125" style="5" customWidth="1"/>
    <col min="16" max="16384" width="8.6640625" style="5" hidden="1"/>
  </cols>
  <sheetData>
    <row r="1" spans="2:14"/>
    <row r="2" spans="2:14">
      <c r="B2" s="36" t="s">
        <v>89</v>
      </c>
      <c r="C2" s="36"/>
      <c r="D2" s="36"/>
      <c r="E2" s="36"/>
      <c r="F2" s="36"/>
      <c r="G2" s="36"/>
      <c r="H2" s="36"/>
      <c r="I2" s="36"/>
      <c r="J2" s="36"/>
      <c r="K2" s="36"/>
      <c r="L2" s="36"/>
      <c r="M2" s="36"/>
      <c r="N2" s="36"/>
    </row>
    <row r="3" spans="2:14">
      <c r="B3" s="33" t="s">
        <v>90</v>
      </c>
      <c r="C3" s="33"/>
      <c r="D3" s="33"/>
      <c r="E3" s="33"/>
      <c r="F3" s="33"/>
      <c r="G3" s="33"/>
      <c r="H3" s="33" t="s">
        <v>87</v>
      </c>
      <c r="I3" s="33"/>
      <c r="J3" s="33"/>
      <c r="K3" s="33"/>
      <c r="L3" s="33"/>
      <c r="M3" s="33"/>
      <c r="N3" s="33"/>
    </row>
    <row r="4" spans="2:14">
      <c r="B4" s="5" t="s">
        <v>88</v>
      </c>
      <c r="F4" s="5" t="s">
        <v>93</v>
      </c>
      <c r="G4" s="5" t="s">
        <v>94</v>
      </c>
    </row>
    <row r="5" spans="2:14">
      <c r="B5" s="10" t="s">
        <v>91</v>
      </c>
      <c r="F5" s="39">
        <f>G5/GIA</f>
        <v>15.75</v>
      </c>
      <c r="G5" s="38">
        <f>Summary!N12</f>
        <v>136977.75</v>
      </c>
    </row>
    <row r="6" spans="2:14" ht="19.8">
      <c r="B6" s="10" t="s">
        <v>95</v>
      </c>
      <c r="F6" s="40">
        <f>G6/GIA</f>
        <v>0</v>
      </c>
      <c r="G6" s="41">
        <v>0</v>
      </c>
      <c r="H6" s="5" t="s">
        <v>100</v>
      </c>
    </row>
    <row r="7" spans="2:14">
      <c r="B7" s="5" t="s">
        <v>92</v>
      </c>
      <c r="F7" s="39">
        <f>SUM(F5)</f>
        <v>15.75</v>
      </c>
      <c r="G7" s="37">
        <f>G5-G6</f>
        <v>136977.75</v>
      </c>
    </row>
    <row r="8" spans="2:14">
      <c r="F8" s="37"/>
      <c r="G8" s="37"/>
    </row>
    <row r="9" spans="2:14">
      <c r="B9" s="5" t="s">
        <v>96</v>
      </c>
      <c r="F9" s="39">
        <f>F7</f>
        <v>15.75</v>
      </c>
      <c r="G9" s="37">
        <f>G7</f>
        <v>136977.75</v>
      </c>
    </row>
    <row r="10" spans="2:14">
      <c r="F10" s="39"/>
      <c r="G10" s="37"/>
    </row>
    <row r="11" spans="2:14">
      <c r="B11" s="5" t="s">
        <v>97</v>
      </c>
      <c r="F11" s="39"/>
      <c r="G11" s="37"/>
    </row>
    <row r="12" spans="2:14" ht="19.8">
      <c r="B12" s="10" t="s">
        <v>101</v>
      </c>
      <c r="E12" s="42">
        <f>Summary!$N$15</f>
        <v>0.03</v>
      </c>
      <c r="F12" s="40">
        <f>G12/GIA</f>
        <v>0.47249999999999992</v>
      </c>
      <c r="G12" s="41">
        <f>G9*Summary!$N$15</f>
        <v>4109.3324999999995</v>
      </c>
    </row>
    <row r="13" spans="2:14">
      <c r="B13" s="5" t="s">
        <v>102</v>
      </c>
      <c r="E13" s="43"/>
      <c r="F13" s="39">
        <f>SUM(F12)</f>
        <v>0.47249999999999992</v>
      </c>
      <c r="G13" s="37">
        <f>-SUM(G12)</f>
        <v>-4109.3324999999995</v>
      </c>
    </row>
    <row r="14" spans="2:14">
      <c r="F14" s="39"/>
      <c r="G14" s="37"/>
    </row>
    <row r="15" spans="2:14">
      <c r="B15" s="5" t="s">
        <v>103</v>
      </c>
      <c r="F15" s="39">
        <f>G15/GIA</f>
        <v>15.277500000000002</v>
      </c>
      <c r="G15" s="37">
        <f>G9+G13</f>
        <v>132868.41750000001</v>
      </c>
    </row>
    <row r="16" spans="2:14">
      <c r="F16" s="39"/>
      <c r="G16" s="37"/>
    </row>
    <row r="17" spans="2:14">
      <c r="B17" s="33" t="s">
        <v>142</v>
      </c>
      <c r="C17" s="33"/>
      <c r="D17" s="33"/>
      <c r="E17" s="33"/>
      <c r="F17" s="33"/>
      <c r="G17" s="33"/>
      <c r="H17" s="33"/>
      <c r="I17" s="33"/>
      <c r="J17" s="33"/>
      <c r="K17" s="33"/>
      <c r="L17" s="33"/>
      <c r="M17" s="33"/>
      <c r="N17" s="33"/>
    </row>
    <row r="18" spans="2:14">
      <c r="B18" s="5" t="s">
        <v>74</v>
      </c>
      <c r="F18" s="39"/>
      <c r="G18" s="42">
        <f>Summary!D13</f>
        <v>6.5000000000000002E-2</v>
      </c>
    </row>
    <row r="19" spans="2:14">
      <c r="B19" s="10" t="s">
        <v>111</v>
      </c>
      <c r="F19" s="39">
        <f>G19/GIA</f>
        <v>220.69339111592635</v>
      </c>
      <c r="G19" s="37">
        <f>G21/(1+Summary!G15)</f>
        <v>1919370.4225352113</v>
      </c>
      <c r="H19" s="4" t="s">
        <v>113</v>
      </c>
    </row>
    <row r="20" spans="2:14" ht="19.8">
      <c r="B20" s="10" t="s">
        <v>112</v>
      </c>
      <c r="F20" s="40">
        <f>G20/GIA</f>
        <v>14.345070422535207</v>
      </c>
      <c r="G20" s="41">
        <f>G21-G19</f>
        <v>124759.07746478869</v>
      </c>
    </row>
    <row r="21" spans="2:14">
      <c r="B21" s="5" t="s">
        <v>110</v>
      </c>
      <c r="F21" s="39">
        <f>SUM(F19:F20)</f>
        <v>235.03846153846155</v>
      </c>
      <c r="G21" s="37">
        <v>2044129.5</v>
      </c>
    </row>
    <row r="22" spans="2:14">
      <c r="F22" s="39"/>
      <c r="G22" s="37"/>
    </row>
    <row r="23" spans="2:14">
      <c r="B23" s="33" t="s">
        <v>109</v>
      </c>
      <c r="C23" s="33"/>
      <c r="D23" s="33"/>
      <c r="E23" s="33"/>
      <c r="F23" s="33"/>
      <c r="G23" s="33"/>
      <c r="H23" s="33"/>
      <c r="I23" s="33"/>
      <c r="J23" s="33"/>
      <c r="K23" s="33"/>
      <c r="L23" s="33"/>
      <c r="M23" s="33"/>
      <c r="N23" s="33"/>
    </row>
    <row r="24" spans="2:14">
      <c r="B24" s="4" t="s">
        <v>104</v>
      </c>
      <c r="F24" s="46" t="s">
        <v>108</v>
      </c>
      <c r="G24" s="5" t="s">
        <v>94</v>
      </c>
    </row>
    <row r="25" spans="2:14">
      <c r="B25" s="10" t="s">
        <v>105</v>
      </c>
      <c r="F25" s="44">
        <f>Summary!K18</f>
        <v>9499</v>
      </c>
      <c r="G25" s="37">
        <f>-F25*(Summary!$K$14/12)</f>
        <v>-4749.5</v>
      </c>
    </row>
    <row r="26" spans="2:14" ht="19.8">
      <c r="B26" s="10" t="s">
        <v>106</v>
      </c>
      <c r="F26" s="45">
        <f>Summary!K17*Summary!N17</f>
        <v>65490.000000000007</v>
      </c>
      <c r="G26" s="41">
        <f>-F26*(Summary!$K$14/12)</f>
        <v>-32745.000000000004</v>
      </c>
    </row>
    <row r="27" spans="2:14">
      <c r="B27" s="5" t="s">
        <v>107</v>
      </c>
      <c r="F27" s="44">
        <f>SUM(F25:F26)</f>
        <v>74989</v>
      </c>
      <c r="G27" s="37">
        <f>SUM(G25:G26)</f>
        <v>-37494.5</v>
      </c>
    </row>
    <row r="28" spans="2:14">
      <c r="F28" s="44"/>
      <c r="G28" s="37"/>
    </row>
    <row r="29" spans="2:14">
      <c r="B29" s="5" t="s">
        <v>114</v>
      </c>
      <c r="F29" s="37" t="s">
        <v>93</v>
      </c>
      <c r="G29" s="37"/>
    </row>
    <row r="30" spans="2:14" ht="19.8">
      <c r="B30" s="10" t="s">
        <v>116</v>
      </c>
      <c r="F30" s="40">
        <f>G30/GIA</f>
        <v>-1.5750000000000002</v>
      </c>
      <c r="G30" s="41">
        <f>-Summary!K15*'Acquisition and Stabilisation'!G5</f>
        <v>-13697.775000000001</v>
      </c>
    </row>
    <row r="31" spans="2:14">
      <c r="B31" s="5" t="s">
        <v>115</v>
      </c>
      <c r="F31" s="39">
        <f>SUM(F30)</f>
        <v>-1.5750000000000002</v>
      </c>
      <c r="G31" s="37">
        <f>SUM(G30)</f>
        <v>-13697.775000000001</v>
      </c>
    </row>
    <row r="32" spans="2:14"/>
    <row r="33" spans="2:7">
      <c r="B33" s="5" t="s">
        <v>121</v>
      </c>
      <c r="F33" s="48">
        <f>G33/GIA</f>
        <v>-5.8861992641140626</v>
      </c>
      <c r="G33" s="37">
        <f>G27+G31</f>
        <v>-51192.275000000001</v>
      </c>
    </row>
    <row r="34" spans="2:7"/>
  </sheetData>
  <pageMargins left="0.7" right="0.7" top="0.75" bottom="0.75" header="0.3" footer="0.3"/>
  <legacy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1B7AB8-59D2-49A2-B5D3-97B0801DEDED}">
  <dimension ref="A1:N33"/>
  <sheetViews>
    <sheetView showGridLines="0" zoomScale="85" zoomScaleNormal="85" workbookViewId="0">
      <selection activeCell="F7" sqref="F7"/>
    </sheetView>
  </sheetViews>
  <sheetFormatPr defaultColWidth="0" defaultRowHeight="18" zeroHeight="1"/>
  <cols>
    <col min="1" max="1" width="1.58203125" style="5" customWidth="1"/>
    <col min="2" max="5" width="8.6640625" style="5" customWidth="1"/>
    <col min="6" max="13" width="9.75" style="5" customWidth="1"/>
    <col min="14" max="14" width="8.6640625" style="5" customWidth="1"/>
    <col min="15" max="16384" width="8.6640625" style="5" hidden="1"/>
  </cols>
  <sheetData>
    <row r="1" spans="2:14"/>
    <row r="2" spans="2:14">
      <c r="B2" s="36" t="s">
        <v>117</v>
      </c>
      <c r="C2" s="36"/>
      <c r="D2" s="36"/>
      <c r="E2" s="36"/>
      <c r="F2" s="36"/>
      <c r="G2" s="36"/>
      <c r="H2" s="36"/>
      <c r="I2" s="36"/>
      <c r="J2" s="36"/>
      <c r="K2" s="36"/>
      <c r="L2" s="36"/>
      <c r="M2" s="36"/>
    </row>
    <row r="3" spans="2:14">
      <c r="B3" s="33" t="s">
        <v>118</v>
      </c>
      <c r="C3" s="33"/>
      <c r="D3" s="33"/>
      <c r="E3" s="33"/>
      <c r="F3" s="33"/>
      <c r="G3" s="33"/>
      <c r="H3" s="33"/>
      <c r="I3" s="33"/>
      <c r="J3" s="33"/>
      <c r="K3" s="33"/>
      <c r="L3" s="33"/>
      <c r="M3" s="33"/>
    </row>
    <row r="4" spans="2:14">
      <c r="E4" s="22" t="s">
        <v>119</v>
      </c>
      <c r="F4" s="5">
        <v>1</v>
      </c>
      <c r="G4" s="5">
        <f>F4+1</f>
        <v>2</v>
      </c>
      <c r="H4" s="5">
        <f t="shared" ref="H4:L4" si="0">G4+1</f>
        <v>3</v>
      </c>
      <c r="I4" s="5">
        <f t="shared" si="0"/>
        <v>4</v>
      </c>
      <c r="J4" s="5">
        <f t="shared" si="0"/>
        <v>5</v>
      </c>
      <c r="K4" s="5">
        <f t="shared" si="0"/>
        <v>6</v>
      </c>
      <c r="L4" s="5">
        <f t="shared" si="0"/>
        <v>7</v>
      </c>
      <c r="M4" s="5">
        <f>L4+1</f>
        <v>8</v>
      </c>
    </row>
    <row r="5" spans="2:14">
      <c r="E5" s="22" t="s">
        <v>120</v>
      </c>
      <c r="F5" s="49">
        <f>EOMONTH(Summary!G10,11)</f>
        <v>46599</v>
      </c>
      <c r="G5" s="49">
        <f>EOMONTH(F5,12)</f>
        <v>46965</v>
      </c>
      <c r="H5" s="49">
        <f t="shared" ref="H5:L5" si="1">EOMONTH(G5,12)</f>
        <v>47330</v>
      </c>
      <c r="I5" s="49">
        <f t="shared" si="1"/>
        <v>47695</v>
      </c>
      <c r="J5" s="49">
        <f t="shared" si="1"/>
        <v>48060</v>
      </c>
      <c r="K5" s="49">
        <f t="shared" si="1"/>
        <v>48426</v>
      </c>
      <c r="L5" s="49">
        <f t="shared" si="1"/>
        <v>48791</v>
      </c>
      <c r="M5" s="49">
        <f>EOMONTH(L5,12)</f>
        <v>49156</v>
      </c>
      <c r="N5" s="49"/>
    </row>
    <row r="6" spans="2:14">
      <c r="B6" s="5" t="s">
        <v>88</v>
      </c>
    </row>
    <row r="7" spans="2:14">
      <c r="B7" s="10" t="s">
        <v>195</v>
      </c>
      <c r="F7" s="38">
        <f>'Acquisition and Stabilisation'!G5</f>
        <v>136977.75</v>
      </c>
      <c r="G7" s="37">
        <f>IF((G4-1=Summary!$N$11),(F7*(1+MAX(Summary!$G$14,0))^('Operating Statement'!G4-1)),F7)</f>
        <v>136977.75</v>
      </c>
      <c r="H7" s="37">
        <f>IF((H4-1=Summary!$N$11),(G7*(1+MAX(Summary!$G$14,0))^('Operating Statement'!H4-1)),G7)</f>
        <v>136977.75</v>
      </c>
      <c r="I7" s="37">
        <f>IF((I4-1=Summary!$N$11),(H7*(1+MAX(Summary!$G$14,0))^('Operating Statement'!I4-1)),H7)</f>
        <v>136977.75</v>
      </c>
      <c r="J7" s="37">
        <f>IF((J4-1=Summary!$N$11),(I7*(1+MAX(Summary!$G$14,0))^('Operating Statement'!J4-1)),I7)</f>
        <v>136977.75</v>
      </c>
      <c r="K7" s="37">
        <f>IF((K4-1=Summary!$N$11),(J7*(1+MAX(Summary!$G$14,0))^('Operating Statement'!K4-1)),J7)</f>
        <v>158794.7543309468</v>
      </c>
      <c r="L7" s="37">
        <f>IF((L4-1=Summary!$N$11),(K7*(1+MAX(Summary!$G$14,0))^('Operating Statement'!L4-1)),K7)</f>
        <v>158794.7543309468</v>
      </c>
      <c r="M7" s="37">
        <f>IF((M4-1=Summary!$N$11),(L7*(1+MAX(Summary!$G$14,0))^('Operating Statement'!M4-1)),L7)</f>
        <v>158794.7543309468</v>
      </c>
    </row>
    <row r="8" spans="2:14">
      <c r="B8" s="10" t="s">
        <v>95</v>
      </c>
      <c r="F8" s="37">
        <f>-(MAX(0, MIN(Summary!$K$14+Summary!$N$14,F4*12)-MAX(Summary!$K$14,(F4-1)*12))/12)*F7</f>
        <v>-68488.875</v>
      </c>
      <c r="G8" s="37">
        <f>-(MAX(0, MIN(Summary!$K$14+Summary!$N$14,G4*12) - MAX(Summary!$K$14,(G4-1)*12))/12)*G7</f>
        <v>0</v>
      </c>
      <c r="H8" s="37">
        <f>-(MAX(0, MIN(Summary!$K$14+Summary!$N$14,H4*12) - MAX(Summary!$K$14,(H4-1)*12))/12)*H7</f>
        <v>0</v>
      </c>
      <c r="I8" s="37">
        <f>-(MAX(0, MIN(Summary!$K$14+Summary!$N$14,I4*12) - MAX(Summary!$K$14,(I4-1)*12))/12)*I7</f>
        <v>0</v>
      </c>
      <c r="J8" s="37">
        <f>-(MAX(0, MIN(Summary!$K$14+Summary!$N$14,J4*12) - MAX(Summary!$K$14,(J4-1)*12))/12)*J7</f>
        <v>0</v>
      </c>
      <c r="K8" s="37">
        <f>-(MAX(0, MIN(Summary!$K$14+Summary!$N$14,K4*12) - MAX(Summary!$K$14,(K4-1)*12))/12)*K7</f>
        <v>0</v>
      </c>
      <c r="L8" s="37">
        <f>-(MAX(0, MIN(Summary!$K$14+Summary!$N$14,L4*12) - MAX(Summary!$K$14,(L4-1)*12))/12)*L7</f>
        <v>0</v>
      </c>
      <c r="M8" s="37">
        <f>-(MAX(0, MIN(Summary!$K$14+Summary!$N$14,M4*12) - MAX(Summary!$K$14,(M4-1)*12))/12)*M7</f>
        <v>0</v>
      </c>
    </row>
    <row r="9" spans="2:14" ht="19.8">
      <c r="B9" s="10" t="s">
        <v>187</v>
      </c>
      <c r="F9" s="41">
        <f>-(MAX(0, MIN(Summary!$K$14, F4*12) - (F4-1)*12) / 12) * F7</f>
        <v>-68488.875</v>
      </c>
      <c r="G9" s="41">
        <f>-(MAX(0, MIN(Summary!$K$14, G4*12) - (G4-1)*12) / 12) * G7</f>
        <v>0</v>
      </c>
      <c r="H9" s="41">
        <f>-(MAX(0, MIN(Summary!$K$14, H4*12) - (H4-1)*12) / 12) * H7</f>
        <v>0</v>
      </c>
      <c r="I9" s="41">
        <f>-(MAX(0, MIN(Summary!$K$14, I4*12) - (I4-1)*12) / 12) * I7</f>
        <v>0</v>
      </c>
      <c r="J9" s="41">
        <f>-(MAX(0, MIN(Summary!$K$14, J4*12) - (J4-1)*12) / 12) * J7</f>
        <v>0</v>
      </c>
      <c r="K9" s="41">
        <f>-(MAX(0, MIN(Summary!$K$14, K4*12) - (K4-1)*12) / 12) * K7</f>
        <v>0</v>
      </c>
      <c r="L9" s="41">
        <f>-(MAX(0, MIN(Summary!$K$14, L4*12) - (L4-1)*12) / 12) * L7</f>
        <v>0</v>
      </c>
      <c r="M9" s="41">
        <f>-(MAX(0, MIN(Summary!$K$14, M4*12) - (M4-1)*12) / 12) * M7</f>
        <v>0</v>
      </c>
    </row>
    <row r="10" spans="2:14">
      <c r="B10" s="5" t="s">
        <v>92</v>
      </c>
      <c r="F10" s="37">
        <f>SUM(F7:F9)</f>
        <v>0</v>
      </c>
      <c r="G10" s="37">
        <f t="shared" ref="G10:M10" si="2">SUM(G7:G9)</f>
        <v>136977.75</v>
      </c>
      <c r="H10" s="37">
        <f t="shared" si="2"/>
        <v>136977.75</v>
      </c>
      <c r="I10" s="37">
        <f t="shared" si="2"/>
        <v>136977.75</v>
      </c>
      <c r="J10" s="37">
        <f t="shared" si="2"/>
        <v>136977.75</v>
      </c>
      <c r="K10" s="37">
        <f t="shared" si="2"/>
        <v>158794.7543309468</v>
      </c>
      <c r="L10" s="37">
        <f t="shared" si="2"/>
        <v>158794.7543309468</v>
      </c>
      <c r="M10" s="37">
        <f t="shared" si="2"/>
        <v>158794.7543309468</v>
      </c>
    </row>
    <row r="11" spans="2:14">
      <c r="F11" s="37"/>
      <c r="G11" s="37"/>
      <c r="H11" s="37"/>
      <c r="I11" s="37"/>
      <c r="J11" s="37"/>
      <c r="K11" s="37"/>
      <c r="L11" s="37"/>
      <c r="M11" s="37"/>
    </row>
    <row r="12" spans="2:14">
      <c r="B12" s="5" t="s">
        <v>96</v>
      </c>
      <c r="F12" s="37">
        <f>F10</f>
        <v>0</v>
      </c>
      <c r="G12" s="37">
        <f t="shared" ref="G12:M12" si="3">G10</f>
        <v>136977.75</v>
      </c>
      <c r="H12" s="37">
        <f t="shared" si="3"/>
        <v>136977.75</v>
      </c>
      <c r="I12" s="37">
        <f t="shared" si="3"/>
        <v>136977.75</v>
      </c>
      <c r="J12" s="37">
        <f t="shared" si="3"/>
        <v>136977.75</v>
      </c>
      <c r="K12" s="37">
        <f t="shared" si="3"/>
        <v>158794.7543309468</v>
      </c>
      <c r="L12" s="37">
        <f t="shared" si="3"/>
        <v>158794.7543309468</v>
      </c>
      <c r="M12" s="37">
        <f t="shared" si="3"/>
        <v>158794.7543309468</v>
      </c>
    </row>
    <row r="13" spans="2:14">
      <c r="F13" s="37"/>
      <c r="G13" s="37"/>
      <c r="H13" s="37"/>
      <c r="I13" s="37"/>
      <c r="J13" s="37"/>
      <c r="K13" s="37"/>
      <c r="L13" s="37"/>
      <c r="M13" s="37"/>
    </row>
    <row r="14" spans="2:14">
      <c r="B14" s="5" t="s">
        <v>122</v>
      </c>
      <c r="F14" s="37"/>
      <c r="G14" s="37"/>
      <c r="H14" s="37"/>
      <c r="I14" s="37"/>
      <c r="J14" s="37"/>
      <c r="K14" s="37"/>
      <c r="L14" s="37"/>
      <c r="M14" s="37"/>
    </row>
    <row r="15" spans="2:14" ht="19.8">
      <c r="B15" s="10" t="s">
        <v>101</v>
      </c>
      <c r="E15" s="42">
        <f>Summary!$N$15</f>
        <v>0.03</v>
      </c>
      <c r="F15" s="41">
        <f>-(12-MAX(0, MIN(Summary!$K$14, F4*12)-(F4-1)*12))/12*$E$15*F7</f>
        <v>-2054.6662499999998</v>
      </c>
      <c r="G15" s="41">
        <f>-(12-MAX(0, MIN(Summary!$K$14, G4*12)-(G4-1)*12))/12*$E$15*G7</f>
        <v>-4109.3324999999995</v>
      </c>
      <c r="H15" s="41">
        <f>-(12-MAX(0, MIN(Summary!$K$14, H4*12)-(H4-1)*12))/12*$E$15*H7</f>
        <v>-4109.3324999999995</v>
      </c>
      <c r="I15" s="41">
        <f>-(12-MAX(0, MIN(Summary!$K$14, I4*12)-(I4-1)*12))/12*$E$15*I7</f>
        <v>-4109.3324999999995</v>
      </c>
      <c r="J15" s="41">
        <f>-(12-MAX(0, MIN(Summary!$K$14, J4*12)-(J4-1)*12))/12*$E$15*J7</f>
        <v>-4109.3324999999995</v>
      </c>
      <c r="K15" s="41">
        <f>-(12-MAX(0, MIN(Summary!$K$14, K4*12)-(K4-1)*12))/12*$E$15*K7</f>
        <v>-4763.8426299284038</v>
      </c>
      <c r="L15" s="41">
        <f>-(12-MAX(0, MIN(Summary!$K$14, L4*12)-(L4-1)*12))/12*$E$15*L7</f>
        <v>-4763.8426299284038</v>
      </c>
      <c r="M15" s="41">
        <f>-(12-MAX(0, MIN(Summary!$K$14, M4*12)-(M4-1)*12))/12*$E$15*M7</f>
        <v>-4763.8426299284038</v>
      </c>
    </row>
    <row r="16" spans="2:14">
      <c r="B16" s="5" t="s">
        <v>102</v>
      </c>
      <c r="F16" s="37">
        <f>SUM(F15)</f>
        <v>-2054.6662499999998</v>
      </c>
      <c r="G16" s="37">
        <f t="shared" ref="G16:M16" si="4">SUM(G15)</f>
        <v>-4109.3324999999995</v>
      </c>
      <c r="H16" s="37">
        <f t="shared" si="4"/>
        <v>-4109.3324999999995</v>
      </c>
      <c r="I16" s="37">
        <f t="shared" si="4"/>
        <v>-4109.3324999999995</v>
      </c>
      <c r="J16" s="37">
        <f t="shared" si="4"/>
        <v>-4109.3324999999995</v>
      </c>
      <c r="K16" s="37">
        <f t="shared" si="4"/>
        <v>-4763.8426299284038</v>
      </c>
      <c r="L16" s="37">
        <f t="shared" si="4"/>
        <v>-4763.8426299284038</v>
      </c>
      <c r="M16" s="37">
        <f t="shared" si="4"/>
        <v>-4763.8426299284038</v>
      </c>
    </row>
    <row r="17" spans="2:13">
      <c r="F17" s="37"/>
      <c r="G17" s="37"/>
      <c r="H17" s="37"/>
      <c r="I17" s="37"/>
      <c r="J17" s="37"/>
      <c r="K17" s="37"/>
      <c r="L17" s="37"/>
      <c r="M17" s="37"/>
    </row>
    <row r="18" spans="2:13">
      <c r="B18" s="50" t="s">
        <v>103</v>
      </c>
      <c r="C18" s="50"/>
      <c r="D18" s="50"/>
      <c r="E18" s="50"/>
      <c r="F18" s="51">
        <f>F12+F16</f>
        <v>-2054.6662499999998</v>
      </c>
      <c r="G18" s="51">
        <f t="shared" ref="G18:M18" si="5">G12+G16</f>
        <v>132868.41750000001</v>
      </c>
      <c r="H18" s="51">
        <f t="shared" si="5"/>
        <v>132868.41750000001</v>
      </c>
      <c r="I18" s="51">
        <f t="shared" si="5"/>
        <v>132868.41750000001</v>
      </c>
      <c r="J18" s="51">
        <f t="shared" si="5"/>
        <v>132868.41750000001</v>
      </c>
      <c r="K18" s="51">
        <f t="shared" si="5"/>
        <v>154030.9117010184</v>
      </c>
      <c r="L18" s="51">
        <f t="shared" si="5"/>
        <v>154030.9117010184</v>
      </c>
      <c r="M18" s="51">
        <f t="shared" si="5"/>
        <v>154030.9117010184</v>
      </c>
    </row>
    <row r="19" spans="2:13">
      <c r="F19" s="37"/>
      <c r="G19" s="37"/>
      <c r="H19" s="37"/>
      <c r="I19" s="37"/>
      <c r="J19" s="37"/>
      <c r="K19" s="37"/>
      <c r="L19" s="37"/>
      <c r="M19" s="37"/>
    </row>
    <row r="20" spans="2:13">
      <c r="B20" s="5" t="s">
        <v>109</v>
      </c>
      <c r="F20" s="37"/>
      <c r="G20" s="37"/>
      <c r="H20" s="37"/>
      <c r="I20" s="37"/>
      <c r="J20" s="37"/>
      <c r="K20" s="37"/>
      <c r="L20" s="37"/>
      <c r="M20" s="37"/>
    </row>
    <row r="21" spans="2:13">
      <c r="B21" s="4" t="s">
        <v>123</v>
      </c>
      <c r="F21" s="37"/>
      <c r="G21" s="37"/>
      <c r="H21" s="37"/>
      <c r="I21" s="37"/>
      <c r="J21" s="37"/>
      <c r="K21" s="37"/>
      <c r="L21" s="37"/>
      <c r="M21" s="37"/>
    </row>
    <row r="22" spans="2:13">
      <c r="B22" s="10" t="s">
        <v>105</v>
      </c>
      <c r="F22" s="37">
        <f>-(MAX(0,MIN(Summary!$K$14,F4*12)-(F4-1)*12)/12)*Summary!$K$18</f>
        <v>-4749.5</v>
      </c>
      <c r="G22" s="37">
        <f>-(MAX(0,MIN(Summary!$K$14,G4*12)-(G4-1)*12)/12)*Summary!$K$18</f>
        <v>0</v>
      </c>
      <c r="H22" s="37">
        <f>-(MAX(0,MIN(Summary!$K$14,H4*12)-(H4-1)*12)/12)*Summary!$K$18</f>
        <v>0</v>
      </c>
      <c r="I22" s="37">
        <f>-(MAX(0,MIN(Summary!$K$14,I4*12)-(I4-1)*12)/12)*Summary!$K$18</f>
        <v>0</v>
      </c>
      <c r="J22" s="37">
        <f>-(MAX(0,MIN(Summary!$K$14,J4*12)-(J4-1)*12)/12)*Summary!$K$18</f>
        <v>0</v>
      </c>
      <c r="K22" s="37">
        <f>-(MAX(0,MIN(Summary!$K$14,K4*12)-(K4-1)*12)/12)*Summary!$K$18</f>
        <v>0</v>
      </c>
      <c r="L22" s="37">
        <f>-(MAX(0,MIN(Summary!$K$14,L4*12)-(L4-1)*12)/12)*Summary!$K$18</f>
        <v>0</v>
      </c>
      <c r="M22" s="37">
        <f>-(MAX(0,MIN(Summary!$K$14,M4*12)-(M4-1)*12)/12)*Summary!$K$18</f>
        <v>0</v>
      </c>
    </row>
    <row r="23" spans="2:13">
      <c r="B23" s="10" t="s">
        <v>106</v>
      </c>
      <c r="F23" s="37">
        <f>-(MAX(0,MIN(Summary!$K$14,F4*12)-(F4-1)*12)/12)*(Summary!$K$17*Summary!$N$17)</f>
        <v>-32745.000000000004</v>
      </c>
      <c r="G23" s="37">
        <f>-(MAX(0,MIN(Summary!$K$14,G4*12)-(G4-1)*12)/12)*(Summary!$K$17*Summary!$N$17)</f>
        <v>0</v>
      </c>
      <c r="H23" s="37">
        <f>-(MAX(0,MIN(Summary!$K$14,H4*12)-(H4-1)*12)/12)*(Summary!$K$17*Summary!$N$17)</f>
        <v>0</v>
      </c>
      <c r="I23" s="37">
        <f>-(MAX(0,MIN(Summary!$K$14,I4*12)-(I4-1)*12)/12)*(Summary!$K$17*Summary!$N$17)</f>
        <v>0</v>
      </c>
      <c r="J23" s="37">
        <f>-(MAX(0,MIN(Summary!$K$14,J4*12)-(J4-1)*12)/12)*(Summary!$K$17*Summary!$N$17)</f>
        <v>0</v>
      </c>
      <c r="K23" s="37">
        <f>-(MAX(0,MIN(Summary!$K$14,K4*12)-(K4-1)*12)/12)*(Summary!$K$17*Summary!$N$17)</f>
        <v>0</v>
      </c>
      <c r="L23" s="37">
        <f>-(MAX(0,MIN(Summary!$K$14,L4*12)-(L4-1)*12)/12)*(Summary!$K$17*Summary!$N$17)</f>
        <v>0</v>
      </c>
      <c r="M23" s="37">
        <f>-(MAX(0,MIN(Summary!$K$14,M4*12)-(M4-1)*12)/12)*(Summary!$K$17*Summary!$N$17)</f>
        <v>0</v>
      </c>
    </row>
    <row r="24" spans="2:13">
      <c r="B24" s="5" t="s">
        <v>116</v>
      </c>
      <c r="F24" s="37"/>
      <c r="G24" s="37"/>
      <c r="H24" s="37"/>
      <c r="I24" s="37"/>
      <c r="J24" s="37"/>
      <c r="K24" s="37"/>
      <c r="L24" s="37"/>
      <c r="M24" s="37"/>
    </row>
    <row r="25" spans="2:13" ht="19.8">
      <c r="B25" s="10" t="s">
        <v>116</v>
      </c>
      <c r="F25" s="41">
        <f>-IF(AND(Summary!$K$14&gt;(F4-1)*12,Summary!$K$14&lt;='Operating Statement'!F4*12),F7*Summary!$K$15,0)</f>
        <v>-13697.775000000001</v>
      </c>
      <c r="G25" s="41">
        <f>-IF(AND(Summary!$K$14&gt;(G4-1)*12,Summary!$K$14&lt;='Operating Statement'!G4*12),G7*Summary!$K$15,0)</f>
        <v>0</v>
      </c>
      <c r="H25" s="41">
        <f>-IF(AND(Summary!$K$14&gt;(H4-1)*12,Summary!$K$14&lt;='Operating Statement'!H4*12),H7*Summary!$K$15,0)</f>
        <v>0</v>
      </c>
      <c r="I25" s="41">
        <f>-IF(AND(Summary!$K$14&gt;(I4-1)*12,Summary!$K$14&lt;='Operating Statement'!I4*12),I7*Summary!$K$15,0)</f>
        <v>0</v>
      </c>
      <c r="J25" s="41">
        <f>-IF(AND(Summary!$K$14&gt;(J4-1)*12,Summary!$K$14&lt;='Operating Statement'!J4*12),J7*Summary!$K$15,0)</f>
        <v>0</v>
      </c>
      <c r="K25" s="41">
        <f>-IF(AND(Summary!$K$14&gt;(K4-1)*12,Summary!$K$14&lt;='Operating Statement'!K4*12),K7*Summary!$K$15,0)</f>
        <v>0</v>
      </c>
      <c r="L25" s="41">
        <f>-IF(AND(Summary!$K$14&gt;(L4-1)*12,Summary!$K$14&lt;='Operating Statement'!L4*12),L7*Summary!$K$15,0)</f>
        <v>0</v>
      </c>
      <c r="M25" s="41">
        <f>-IF(AND(Summary!$K$14&gt;(M4-1)*12,Summary!$K$14&lt;='Operating Statement'!M4*12),M7*Summary!$K$15,0)</f>
        <v>0</v>
      </c>
    </row>
    <row r="26" spans="2:13">
      <c r="B26" s="5" t="s">
        <v>121</v>
      </c>
      <c r="F26" s="37">
        <f>SUM(F22:F25)</f>
        <v>-51192.275000000001</v>
      </c>
      <c r="G26" s="37">
        <f t="shared" ref="G26:M26" si="6">SUM(G22:G25)</f>
        <v>0</v>
      </c>
      <c r="H26" s="37">
        <f t="shared" si="6"/>
        <v>0</v>
      </c>
      <c r="I26" s="37">
        <f t="shared" si="6"/>
        <v>0</v>
      </c>
      <c r="J26" s="37">
        <f t="shared" si="6"/>
        <v>0</v>
      </c>
      <c r="K26" s="37">
        <f t="shared" si="6"/>
        <v>0</v>
      </c>
      <c r="L26" s="37">
        <f t="shared" si="6"/>
        <v>0</v>
      </c>
      <c r="M26" s="37">
        <f t="shared" si="6"/>
        <v>0</v>
      </c>
    </row>
    <row r="27" spans="2:13" ht="19.8">
      <c r="B27" s="10"/>
      <c r="F27" s="41"/>
      <c r="G27" s="41"/>
      <c r="H27" s="41"/>
      <c r="I27" s="41"/>
      <c r="J27" s="41"/>
      <c r="K27" s="41"/>
      <c r="L27" s="41"/>
      <c r="M27" s="41"/>
    </row>
    <row r="28" spans="2:13">
      <c r="B28" s="5" t="s">
        <v>124</v>
      </c>
      <c r="F28" s="37">
        <f t="shared" ref="F28:L28" si="7">F18+F26</f>
        <v>-53246.941250000003</v>
      </c>
      <c r="G28" s="37">
        <f t="shared" si="7"/>
        <v>132868.41750000001</v>
      </c>
      <c r="H28" s="37">
        <f t="shared" si="7"/>
        <v>132868.41750000001</v>
      </c>
      <c r="I28" s="37">
        <f t="shared" si="7"/>
        <v>132868.41750000001</v>
      </c>
      <c r="J28" s="37">
        <f t="shared" si="7"/>
        <v>132868.41750000001</v>
      </c>
      <c r="K28" s="37">
        <f t="shared" si="7"/>
        <v>154030.9117010184</v>
      </c>
      <c r="L28" s="37">
        <f t="shared" si="7"/>
        <v>154030.9117010184</v>
      </c>
      <c r="M28" s="51"/>
    </row>
    <row r="29" spans="2:13">
      <c r="F29" s="37"/>
      <c r="G29" s="37"/>
      <c r="H29" s="37"/>
      <c r="I29" s="37"/>
      <c r="J29" s="37"/>
      <c r="K29" s="37"/>
      <c r="L29" s="37"/>
      <c r="M29" s="51"/>
    </row>
    <row r="30" spans="2:13">
      <c r="B30" s="5" t="s">
        <v>125</v>
      </c>
      <c r="F30" s="37">
        <f>-'Debt Financing'!H6</f>
        <v>0</v>
      </c>
      <c r="G30" s="37">
        <f>-'Debt Financing'!I6</f>
        <v>-67177.964788732395</v>
      </c>
      <c r="H30" s="37">
        <f>-'Debt Financing'!J6</f>
        <v>-67177.964788732395</v>
      </c>
      <c r="I30" s="37">
        <f>-'Debt Financing'!K6</f>
        <v>-67177.964788732395</v>
      </c>
      <c r="J30" s="37">
        <f>-'Debt Financing'!L6</f>
        <v>-67177.964788732395</v>
      </c>
      <c r="K30" s="37">
        <f>-'Debt Financing'!M6</f>
        <v>-67177.964788732395</v>
      </c>
      <c r="L30" s="37">
        <f>-'Debt Financing'!N6</f>
        <v>-67177.964788732395</v>
      </c>
      <c r="M30" s="51"/>
    </row>
    <row r="31" spans="2:13">
      <c r="M31" s="50"/>
    </row>
    <row r="32" spans="2:13">
      <c r="B32" s="5" t="s">
        <v>126</v>
      </c>
      <c r="F32" s="37">
        <f>F28+F30</f>
        <v>-53246.941250000003</v>
      </c>
      <c r="G32" s="37">
        <f t="shared" ref="G32:L32" si="8">G28+G30</f>
        <v>65690.452711267615</v>
      </c>
      <c r="H32" s="37">
        <f t="shared" si="8"/>
        <v>65690.452711267615</v>
      </c>
      <c r="I32" s="37">
        <f t="shared" si="8"/>
        <v>65690.452711267615</v>
      </c>
      <c r="J32" s="37">
        <f t="shared" si="8"/>
        <v>65690.452711267615</v>
      </c>
      <c r="K32" s="37">
        <f t="shared" si="8"/>
        <v>86852.946912286003</v>
      </c>
      <c r="L32" s="37">
        <f t="shared" si="8"/>
        <v>86852.946912286003</v>
      </c>
      <c r="M32" s="50"/>
    </row>
    <row r="33"/>
  </sheetData>
  <pageMargins left="0.7" right="0.7" top="0.75" bottom="0.75" header="0.3" footer="0.3"/>
  <legacyDrawing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70B65A-00A3-490D-900F-CBE731C95250}">
  <dimension ref="A1:O17"/>
  <sheetViews>
    <sheetView showGridLines="0" zoomScaleNormal="100" workbookViewId="0">
      <selection activeCell="G14" sqref="G14"/>
    </sheetView>
  </sheetViews>
  <sheetFormatPr defaultColWidth="0" defaultRowHeight="18" zeroHeight="1"/>
  <cols>
    <col min="1" max="1" width="1.58203125" style="5" customWidth="1"/>
    <col min="2" max="4" width="8.6640625" style="5" customWidth="1"/>
    <col min="5" max="5" width="13.5" style="5" bestFit="1" customWidth="1"/>
    <col min="6" max="7" width="8.6640625" style="5" customWidth="1"/>
    <col min="8" max="14" width="10.75" style="5" bestFit="1" customWidth="1"/>
    <col min="15" max="15" width="1.58203125" style="5" customWidth="1"/>
    <col min="16" max="16384" width="8.6640625" style="5" hidden="1"/>
  </cols>
  <sheetData>
    <row r="1" spans="2:15"/>
    <row r="2" spans="2:15">
      <c r="B2" s="36" t="s">
        <v>127</v>
      </c>
      <c r="C2" s="52"/>
      <c r="D2" s="52"/>
      <c r="E2" s="52"/>
      <c r="F2" s="52"/>
      <c r="G2" s="52"/>
      <c r="H2" s="52"/>
      <c r="I2" s="52"/>
      <c r="J2" s="52"/>
      <c r="K2" s="52"/>
      <c r="L2" s="52"/>
      <c r="M2" s="52"/>
      <c r="N2" s="52"/>
    </row>
    <row r="3" spans="2:15">
      <c r="B3" s="33" t="s">
        <v>128</v>
      </c>
      <c r="C3" s="33"/>
      <c r="D3" s="33"/>
      <c r="E3" s="33"/>
      <c r="F3" s="33"/>
      <c r="G3" s="33"/>
      <c r="H3" s="33"/>
      <c r="I3" s="33"/>
      <c r="J3" s="33"/>
      <c r="K3" s="33"/>
      <c r="L3" s="33"/>
      <c r="M3" s="33"/>
      <c r="N3" s="33"/>
    </row>
    <row r="4" spans="2:15">
      <c r="B4" s="5" t="s">
        <v>129</v>
      </c>
      <c r="D4" s="55">
        <v>0.5</v>
      </c>
      <c r="E4" s="37">
        <f>D4*'Acquisition and Stabilisation'!G19</f>
        <v>959685.21126760566</v>
      </c>
      <c r="G4" s="22" t="s">
        <v>119</v>
      </c>
      <c r="H4" s="5">
        <v>1</v>
      </c>
      <c r="I4" s="5">
        <f>H4+1</f>
        <v>2</v>
      </c>
      <c r="J4" s="5">
        <f t="shared" ref="J4:N4" si="0">I4+1</f>
        <v>3</v>
      </c>
      <c r="K4" s="5">
        <f t="shared" si="0"/>
        <v>4</v>
      </c>
      <c r="L4" s="5">
        <f t="shared" si="0"/>
        <v>5</v>
      </c>
      <c r="M4" s="5">
        <f t="shared" si="0"/>
        <v>6</v>
      </c>
      <c r="N4" s="5">
        <f t="shared" si="0"/>
        <v>7</v>
      </c>
    </row>
    <row r="5" spans="2:15" ht="19.8">
      <c r="B5" s="10" t="s">
        <v>130</v>
      </c>
      <c r="D5" s="54">
        <v>0.01</v>
      </c>
      <c r="E5" s="41">
        <f>-D5*E4</f>
        <v>-9596.852112676057</v>
      </c>
      <c r="G5" s="22" t="s">
        <v>120</v>
      </c>
      <c r="H5" s="56">
        <f>EOMONTH(Summary!G10,11)</f>
        <v>46599</v>
      </c>
      <c r="I5" s="56">
        <f>EOMONTH(H5,12)</f>
        <v>46965</v>
      </c>
      <c r="J5" s="56">
        <f t="shared" ref="J5:N5" si="1">EOMONTH(I5,12)</f>
        <v>47330</v>
      </c>
      <c r="K5" s="56">
        <f t="shared" si="1"/>
        <v>47695</v>
      </c>
      <c r="L5" s="56">
        <f t="shared" si="1"/>
        <v>48060</v>
      </c>
      <c r="M5" s="56">
        <f t="shared" si="1"/>
        <v>48426</v>
      </c>
      <c r="N5" s="56">
        <f t="shared" si="1"/>
        <v>48791</v>
      </c>
      <c r="O5" s="56"/>
    </row>
    <row r="6" spans="2:15">
      <c r="B6" s="5" t="s">
        <v>131</v>
      </c>
      <c r="E6" s="37">
        <f>SUM(E4:E5)</f>
        <v>950088.35915492964</v>
      </c>
      <c r="G6" s="22" t="s">
        <v>125</v>
      </c>
      <c r="H6" s="37">
        <f>IF(H4&lt;=$E$12,0,$E$11)</f>
        <v>0</v>
      </c>
      <c r="I6" s="37">
        <f t="shared" ref="I6:N6" si="2">IF(I4&lt;=$E$12,0,$E$11)</f>
        <v>67177.964788732395</v>
      </c>
      <c r="J6" s="37">
        <f t="shared" si="2"/>
        <v>67177.964788732395</v>
      </c>
      <c r="K6" s="37">
        <f t="shared" si="2"/>
        <v>67177.964788732395</v>
      </c>
      <c r="L6" s="37">
        <f t="shared" si="2"/>
        <v>67177.964788732395</v>
      </c>
      <c r="M6" s="37">
        <f t="shared" si="2"/>
        <v>67177.964788732395</v>
      </c>
      <c r="N6" s="37">
        <f t="shared" si="2"/>
        <v>67177.964788732395</v>
      </c>
    </row>
    <row r="7" spans="2:15">
      <c r="G7" s="22" t="s">
        <v>135</v>
      </c>
      <c r="H7" s="37">
        <f>$E$4</f>
        <v>959685.21126760566</v>
      </c>
      <c r="I7" s="37">
        <f t="shared" ref="I7:N7" si="3">$E$4</f>
        <v>959685.21126760566</v>
      </c>
      <c r="J7" s="37">
        <f t="shared" si="3"/>
        <v>959685.21126760566</v>
      </c>
      <c r="K7" s="37">
        <f t="shared" si="3"/>
        <v>959685.21126760566</v>
      </c>
      <c r="L7" s="37">
        <f t="shared" si="3"/>
        <v>959685.21126760566</v>
      </c>
      <c r="M7" s="37">
        <f t="shared" si="3"/>
        <v>959685.21126760566</v>
      </c>
      <c r="N7" s="37">
        <f t="shared" si="3"/>
        <v>959685.21126760566</v>
      </c>
    </row>
    <row r="8" spans="2:15">
      <c r="B8" s="5" t="s">
        <v>139</v>
      </c>
      <c r="E8" s="57">
        <f>Summary!G11</f>
        <v>7</v>
      </c>
    </row>
    <row r="9" spans="2:15">
      <c r="B9" s="5" t="s">
        <v>132</v>
      </c>
      <c r="E9" s="54">
        <v>7.0000000000000007E-2</v>
      </c>
      <c r="G9" s="5" t="s">
        <v>136</v>
      </c>
      <c r="H9" s="37">
        <f>'Operating Statement'!F18</f>
        <v>-2054.6662499999998</v>
      </c>
      <c r="I9" s="37">
        <f>'Operating Statement'!G18</f>
        <v>132868.41750000001</v>
      </c>
      <c r="J9" s="37">
        <f>'Operating Statement'!H18</f>
        <v>132868.41750000001</v>
      </c>
      <c r="K9" s="37">
        <f>'Operating Statement'!I18</f>
        <v>132868.41750000001</v>
      </c>
      <c r="L9" s="37">
        <f>'Operating Statement'!J18</f>
        <v>132868.41750000001</v>
      </c>
      <c r="M9" s="37">
        <f>'Operating Statement'!K18</f>
        <v>154030.9117010184</v>
      </c>
      <c r="N9" s="37">
        <f>'Operating Statement'!L18</f>
        <v>154030.9117010184</v>
      </c>
    </row>
    <row r="10" spans="2:15">
      <c r="B10" s="5" t="s">
        <v>133</v>
      </c>
      <c r="E10" s="6" t="s">
        <v>134</v>
      </c>
      <c r="G10" s="5" t="s">
        <v>137</v>
      </c>
      <c r="H10" s="76" t="str">
        <f>IF(H6=0,"na",H9/H6)</f>
        <v>na</v>
      </c>
      <c r="I10" s="76">
        <f t="shared" ref="I10:N10" si="4">IF(I6=0,"na",I9/I6)</f>
        <v>1.977857142857143</v>
      </c>
      <c r="J10" s="76">
        <f t="shared" si="4"/>
        <v>1.977857142857143</v>
      </c>
      <c r="K10" s="76">
        <f t="shared" si="4"/>
        <v>1.977857142857143</v>
      </c>
      <c r="L10" s="76">
        <f t="shared" si="4"/>
        <v>1.977857142857143</v>
      </c>
      <c r="M10" s="76">
        <f t="shared" si="4"/>
        <v>2.2928785083833567</v>
      </c>
      <c r="N10" s="76">
        <f t="shared" si="4"/>
        <v>2.2928785083833567</v>
      </c>
    </row>
    <row r="11" spans="2:15">
      <c r="B11" s="5" t="s">
        <v>140</v>
      </c>
      <c r="E11" s="37">
        <f>E9*E4</f>
        <v>67177.964788732395</v>
      </c>
      <c r="G11" s="5" t="s">
        <v>138</v>
      </c>
      <c r="H11" s="74">
        <f>H9/$E$4</f>
        <v>-2.1409793814432987E-3</v>
      </c>
      <c r="I11" s="53">
        <f t="shared" ref="I11:N11" si="5">I9/$E$4</f>
        <v>0.13845000000000002</v>
      </c>
      <c r="J11" s="53">
        <f t="shared" si="5"/>
        <v>0.13845000000000002</v>
      </c>
      <c r="K11" s="53">
        <f t="shared" si="5"/>
        <v>0.13845000000000002</v>
      </c>
      <c r="L11" s="53">
        <f t="shared" si="5"/>
        <v>0.13845000000000002</v>
      </c>
      <c r="M11" s="53">
        <f t="shared" si="5"/>
        <v>0.16050149558683496</v>
      </c>
      <c r="N11" s="53">
        <f t="shared" si="5"/>
        <v>0.16050149558683496</v>
      </c>
    </row>
    <row r="12" spans="2:15">
      <c r="B12" s="5" t="s">
        <v>196</v>
      </c>
      <c r="E12" s="75">
        <v>1</v>
      </c>
    </row>
    <row r="13" spans="2:15"/>
    <row r="14" spans="2:15"/>
    <row r="15" spans="2:15"/>
    <row r="16" spans="2:15"/>
    <row r="17"/>
  </sheetData>
  <pageMargins left="0.7" right="0.7" top="0.75" bottom="0.75" header="0.3" footer="0.3"/>
  <legacy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83DC2C-7182-4D61-9E5B-7177A74EC3F5}">
  <dimension ref="A1:O25"/>
  <sheetViews>
    <sheetView showGridLines="0" zoomScale="85" zoomScaleNormal="85" workbookViewId="0">
      <selection activeCell="J18" sqref="J18"/>
    </sheetView>
  </sheetViews>
  <sheetFormatPr defaultColWidth="0" defaultRowHeight="18" zeroHeight="1"/>
  <cols>
    <col min="1" max="1" width="1.58203125" style="5" customWidth="1"/>
    <col min="2" max="6" width="8.6640625" style="5" customWidth="1"/>
    <col min="7" max="7" width="9.1640625" style="5" bestFit="1" customWidth="1"/>
    <col min="8" max="8" width="1.58203125" style="5" customWidth="1"/>
    <col min="9" max="9" width="8.6640625" style="5" customWidth="1"/>
    <col min="10" max="10" width="10.75" style="5" bestFit="1" customWidth="1"/>
    <col min="11" max="14" width="8.6640625" style="5" customWidth="1"/>
    <col min="15" max="15" width="1.58203125" style="5" customWidth="1"/>
    <col min="16" max="16384" width="8.6640625" style="5" hidden="1"/>
  </cols>
  <sheetData>
    <row r="1" spans="2:14"/>
    <row r="2" spans="2:14">
      <c r="B2" s="36" t="s">
        <v>141</v>
      </c>
      <c r="C2" s="52"/>
      <c r="D2" s="52"/>
      <c r="E2" s="52"/>
      <c r="F2" s="52"/>
      <c r="G2" s="52"/>
      <c r="H2" s="52"/>
      <c r="I2" s="52"/>
      <c r="J2" s="52"/>
      <c r="K2" s="52"/>
      <c r="L2" s="52"/>
      <c r="M2" s="52"/>
      <c r="N2" s="52"/>
    </row>
    <row r="3" spans="2:14">
      <c r="B3" s="33" t="s">
        <v>143</v>
      </c>
      <c r="C3" s="33"/>
      <c r="D3" s="33"/>
      <c r="E3" s="33"/>
      <c r="F3" s="33"/>
      <c r="G3" s="33" t="s">
        <v>145</v>
      </c>
      <c r="H3" s="33"/>
      <c r="I3" s="33"/>
      <c r="J3" s="67" t="s">
        <v>85</v>
      </c>
      <c r="K3" s="33"/>
      <c r="L3" s="33"/>
      <c r="M3" s="35" t="s">
        <v>144</v>
      </c>
      <c r="N3" s="64">
        <f>'Operating Statement'!M5</f>
        <v>49156</v>
      </c>
    </row>
    <row r="4" spans="2:14">
      <c r="B4" s="5" t="s">
        <v>88</v>
      </c>
      <c r="G4" s="22" t="s">
        <v>146</v>
      </c>
      <c r="I4" s="5" t="s">
        <v>93</v>
      </c>
      <c r="J4" s="5" t="s">
        <v>94</v>
      </c>
    </row>
    <row r="5" spans="2:14">
      <c r="B5" s="10" t="s">
        <v>195</v>
      </c>
      <c r="G5" s="38">
        <f>'Operating Statement'!M7</f>
        <v>158794.7543309468</v>
      </c>
      <c r="I5" s="48">
        <f>J5/GIA</f>
        <v>18.258566670224997</v>
      </c>
      <c r="J5" s="37">
        <f>G5</f>
        <v>158794.7543309468</v>
      </c>
    </row>
    <row r="6" spans="2:14" ht="19.8">
      <c r="B6" s="10" t="s">
        <v>95</v>
      </c>
      <c r="G6" s="65">
        <f>'Operating Statement'!M8</f>
        <v>0</v>
      </c>
      <c r="I6" s="66">
        <f>J6/GIA</f>
        <v>0</v>
      </c>
      <c r="J6" s="41">
        <f>G6</f>
        <v>0</v>
      </c>
    </row>
    <row r="7" spans="2:14">
      <c r="B7" s="5" t="s">
        <v>92</v>
      </c>
      <c r="G7" s="37">
        <f>SUM(G5:G6)</f>
        <v>158794.7543309468</v>
      </c>
      <c r="I7" s="39">
        <f>SUM(I5:I6)</f>
        <v>18.258566670224997</v>
      </c>
      <c r="J7" s="37">
        <f>SUM(J5:J6)</f>
        <v>158794.7543309468</v>
      </c>
    </row>
    <row r="8" spans="2:14">
      <c r="G8" s="37"/>
    </row>
    <row r="9" spans="2:14">
      <c r="B9" s="5" t="s">
        <v>96</v>
      </c>
      <c r="G9" s="37">
        <f>G7</f>
        <v>158794.7543309468</v>
      </c>
      <c r="I9" s="48">
        <f>J9/GIA</f>
        <v>18.258566670224997</v>
      </c>
      <c r="J9" s="37">
        <f>J7</f>
        <v>158794.7543309468</v>
      </c>
    </row>
    <row r="10" spans="2:14">
      <c r="G10" s="37"/>
    </row>
    <row r="11" spans="2:14">
      <c r="B11" s="5" t="s">
        <v>97</v>
      </c>
      <c r="G11" s="37"/>
    </row>
    <row r="12" spans="2:14" ht="19.8">
      <c r="B12" s="10" t="s">
        <v>101</v>
      </c>
      <c r="E12" s="42"/>
      <c r="G12" s="65">
        <f>'Operating Statement'!M15</f>
        <v>-4763.8426299284038</v>
      </c>
      <c r="I12" s="40">
        <f>J12/GIA</f>
        <v>-0.54775700010674988</v>
      </c>
      <c r="J12" s="41">
        <f>G12</f>
        <v>-4763.8426299284038</v>
      </c>
    </row>
    <row r="13" spans="2:14">
      <c r="B13" s="5" t="s">
        <v>102</v>
      </c>
      <c r="G13" s="37">
        <f>SUM(G12)</f>
        <v>-4763.8426299284038</v>
      </c>
      <c r="I13" s="39">
        <f>SUM(I12)</f>
        <v>-0.54775700010674988</v>
      </c>
      <c r="J13" s="37">
        <f>SUM(J12)</f>
        <v>-4763.8426299284038</v>
      </c>
    </row>
    <row r="14" spans="2:14">
      <c r="G14" s="37"/>
    </row>
    <row r="15" spans="2:14">
      <c r="B15" s="5" t="s">
        <v>103</v>
      </c>
      <c r="G15" s="37">
        <f>G9+G13</f>
        <v>154030.9117010184</v>
      </c>
      <c r="I15" s="39">
        <f>J15/GIA</f>
        <v>17.710809670118248</v>
      </c>
      <c r="J15" s="37">
        <f>J9+J13</f>
        <v>154030.9117010184</v>
      </c>
    </row>
    <row r="16" spans="2:14"/>
    <row r="17" spans="2:14">
      <c r="B17" s="33" t="s">
        <v>142</v>
      </c>
      <c r="C17" s="33"/>
      <c r="D17" s="33"/>
      <c r="E17" s="33"/>
      <c r="F17" s="33"/>
      <c r="G17" s="33"/>
      <c r="H17" s="33"/>
      <c r="I17" s="33"/>
      <c r="J17" s="33"/>
      <c r="K17" s="33"/>
      <c r="L17" s="33"/>
      <c r="M17" s="33"/>
      <c r="N17" s="33"/>
    </row>
    <row r="18" spans="2:14">
      <c r="B18" s="5" t="s">
        <v>186</v>
      </c>
      <c r="F18" s="39"/>
      <c r="G18" s="47"/>
      <c r="J18" s="42">
        <f>Summary!G13</f>
        <v>7.0000000000000007E-2</v>
      </c>
    </row>
    <row r="19" spans="2:14">
      <c r="B19" s="10" t="s">
        <v>148</v>
      </c>
      <c r="F19" s="39"/>
      <c r="G19" s="37"/>
      <c r="I19" s="39">
        <f>J19/GIA</f>
        <v>253.01156671597496</v>
      </c>
      <c r="J19" s="37">
        <f>J15/J18</f>
        <v>2200441.5957288342</v>
      </c>
    </row>
    <row r="20" spans="2:14" ht="19.8">
      <c r="B20" s="10" t="s">
        <v>193</v>
      </c>
      <c r="F20" s="40"/>
      <c r="G20" s="41"/>
      <c r="I20" s="40">
        <f>J20/GIA</f>
        <v>-5.0602313343194991</v>
      </c>
      <c r="J20" s="41">
        <f>J19*-Summary!$G$16</f>
        <v>-44008.831914576687</v>
      </c>
    </row>
    <row r="21" spans="2:14">
      <c r="B21" s="5" t="s">
        <v>147</v>
      </c>
      <c r="F21" s="39"/>
      <c r="G21" s="37"/>
      <c r="I21" s="39">
        <f>J21/GIA</f>
        <v>247.95133538165544</v>
      </c>
      <c r="J21" s="37">
        <f>SUM(J19:J20)</f>
        <v>2156432.7638142575</v>
      </c>
    </row>
    <row r="22" spans="2:14"/>
    <row r="23" spans="2:14"/>
    <row r="24" spans="2:14"/>
    <row r="25" spans="2:14"/>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2801F8-CD2B-4ABC-B8FB-B185AFCB1D8D}">
  <dimension ref="A1:N52"/>
  <sheetViews>
    <sheetView showGridLines="0" topLeftCell="A18" zoomScale="70" zoomScaleNormal="70" workbookViewId="0">
      <selection activeCell="I44" sqref="I44"/>
    </sheetView>
  </sheetViews>
  <sheetFormatPr defaultColWidth="0" defaultRowHeight="18" zeroHeight="1"/>
  <cols>
    <col min="1" max="1" width="1.58203125" style="5" customWidth="1"/>
    <col min="2" max="5" width="8.6640625" style="5" customWidth="1"/>
    <col min="6" max="13" width="11.58203125" style="5" customWidth="1"/>
    <col min="14" max="14" width="1.58203125" style="5" customWidth="1"/>
    <col min="15" max="16384" width="8.6640625" style="5" hidden="1"/>
  </cols>
  <sheetData>
    <row r="1" spans="2:13"/>
    <row r="2" spans="2:13">
      <c r="B2" s="36" t="s">
        <v>150</v>
      </c>
      <c r="C2" s="52"/>
      <c r="D2" s="52"/>
      <c r="E2" s="52"/>
      <c r="F2" s="52"/>
      <c r="G2" s="52"/>
      <c r="H2" s="52"/>
      <c r="I2" s="52"/>
      <c r="J2" s="52"/>
      <c r="K2" s="52"/>
      <c r="L2" s="52"/>
      <c r="M2" s="52"/>
    </row>
    <row r="3" spans="2:13">
      <c r="B3" s="33" t="s">
        <v>151</v>
      </c>
      <c r="C3" s="33"/>
      <c r="D3" s="33"/>
      <c r="E3" s="33"/>
      <c r="F3" s="68">
        <v>0</v>
      </c>
      <c r="G3" s="68">
        <f>F3+1</f>
        <v>1</v>
      </c>
      <c r="H3" s="68">
        <f t="shared" ref="H3:M3" si="0">G3+1</f>
        <v>2</v>
      </c>
      <c r="I3" s="68">
        <f t="shared" si="0"/>
        <v>3</v>
      </c>
      <c r="J3" s="68">
        <f t="shared" si="0"/>
        <v>4</v>
      </c>
      <c r="K3" s="68">
        <f t="shared" si="0"/>
        <v>5</v>
      </c>
      <c r="L3" s="68">
        <f t="shared" si="0"/>
        <v>6</v>
      </c>
      <c r="M3" s="68">
        <f t="shared" si="0"/>
        <v>7</v>
      </c>
    </row>
    <row r="4" spans="2:13">
      <c r="B4" s="5" t="s">
        <v>152</v>
      </c>
    </row>
    <row r="5" spans="2:13">
      <c r="B5" s="10" t="s">
        <v>111</v>
      </c>
      <c r="F5" s="38">
        <f>($F$3=0)*-'Acquisition and Stabilisation'!G19</f>
        <v>-1919370.4225352113</v>
      </c>
    </row>
    <row r="6" spans="2:13" ht="19.8">
      <c r="B6" s="10" t="s">
        <v>112</v>
      </c>
      <c r="F6" s="65">
        <f>($F$3=0)*-'Acquisition and Stabilisation'!G20</f>
        <v>-124759.07746478869</v>
      </c>
    </row>
    <row r="7" spans="2:13">
      <c r="B7" s="5" t="s">
        <v>110</v>
      </c>
      <c r="F7" s="37">
        <f>SUM(F5:F6)</f>
        <v>-2044129.5</v>
      </c>
      <c r="G7" s="37"/>
    </row>
    <row r="8" spans="2:13"/>
    <row r="9" spans="2:13">
      <c r="B9" s="5" t="s">
        <v>153</v>
      </c>
    </row>
    <row r="10" spans="2:13">
      <c r="B10" s="10" t="s">
        <v>154</v>
      </c>
      <c r="F10" s="37"/>
      <c r="G10" s="38">
        <f>'Operating Statement'!F12</f>
        <v>0</v>
      </c>
      <c r="H10" s="38">
        <f>'Operating Statement'!G12</f>
        <v>136977.75</v>
      </c>
      <c r="I10" s="38">
        <f>'Operating Statement'!H12</f>
        <v>136977.75</v>
      </c>
      <c r="J10" s="38">
        <f>'Operating Statement'!I12</f>
        <v>136977.75</v>
      </c>
      <c r="K10" s="38">
        <f>'Operating Statement'!J12</f>
        <v>136977.75</v>
      </c>
      <c r="L10" s="38">
        <f>'Operating Statement'!K12</f>
        <v>158794.7543309468</v>
      </c>
      <c r="M10" s="38">
        <f>'Operating Statement'!L12</f>
        <v>158794.7543309468</v>
      </c>
    </row>
    <row r="11" spans="2:13">
      <c r="B11" s="10" t="s">
        <v>155</v>
      </c>
      <c r="F11" s="37"/>
      <c r="G11" s="38">
        <f>'Operating Statement'!F16</f>
        <v>-2054.6662499999998</v>
      </c>
      <c r="H11" s="38">
        <f>'Operating Statement'!G16</f>
        <v>-4109.3324999999995</v>
      </c>
      <c r="I11" s="38">
        <f>'Operating Statement'!H16</f>
        <v>-4109.3324999999995</v>
      </c>
      <c r="J11" s="38">
        <f>'Operating Statement'!I16</f>
        <v>-4109.3324999999995</v>
      </c>
      <c r="K11" s="38">
        <f>'Operating Statement'!J16</f>
        <v>-4109.3324999999995</v>
      </c>
      <c r="L11" s="38">
        <f>'Operating Statement'!K16</f>
        <v>-4763.8426299284038</v>
      </c>
      <c r="M11" s="38">
        <f>'Operating Statement'!L16</f>
        <v>-4763.8426299284038</v>
      </c>
    </row>
    <row r="12" spans="2:13" ht="19.8">
      <c r="B12" s="10" t="s">
        <v>157</v>
      </c>
      <c r="F12" s="37"/>
      <c r="G12" s="65">
        <f>'Operating Statement'!F26</f>
        <v>-51192.275000000001</v>
      </c>
      <c r="H12" s="65">
        <f>'Operating Statement'!G26</f>
        <v>0</v>
      </c>
      <c r="I12" s="65">
        <f>'Operating Statement'!H26</f>
        <v>0</v>
      </c>
      <c r="J12" s="65">
        <f>'Operating Statement'!I26</f>
        <v>0</v>
      </c>
      <c r="K12" s="65">
        <f>'Operating Statement'!J26</f>
        <v>0</v>
      </c>
      <c r="L12" s="65">
        <f>'Operating Statement'!K26</f>
        <v>0</v>
      </c>
      <c r="M12" s="65">
        <f>'Operating Statement'!L26</f>
        <v>0</v>
      </c>
    </row>
    <row r="13" spans="2:13">
      <c r="B13" s="5" t="s">
        <v>156</v>
      </c>
      <c r="F13" s="37"/>
      <c r="G13" s="37">
        <f>SUM(G10:G12)</f>
        <v>-53246.941250000003</v>
      </c>
      <c r="H13" s="37">
        <f t="shared" ref="H13:M13" si="1">SUM(H10:H12)</f>
        <v>132868.41750000001</v>
      </c>
      <c r="I13" s="37">
        <f t="shared" si="1"/>
        <v>132868.41750000001</v>
      </c>
      <c r="J13" s="37">
        <f t="shared" si="1"/>
        <v>132868.41750000001</v>
      </c>
      <c r="K13" s="37">
        <f t="shared" si="1"/>
        <v>132868.41750000001</v>
      </c>
      <c r="L13" s="37">
        <f t="shared" si="1"/>
        <v>154030.9117010184</v>
      </c>
      <c r="M13" s="37">
        <f t="shared" si="1"/>
        <v>154030.9117010184</v>
      </c>
    </row>
    <row r="14" spans="2:13">
      <c r="F14" s="37"/>
      <c r="G14" s="37"/>
      <c r="H14" s="37"/>
      <c r="I14" s="37"/>
      <c r="J14" s="37"/>
      <c r="K14" s="37"/>
      <c r="L14" s="37"/>
      <c r="M14" s="37"/>
    </row>
    <row r="15" spans="2:13">
      <c r="B15" s="5" t="s">
        <v>167</v>
      </c>
      <c r="F15" s="37"/>
      <c r="G15" s="37">
        <f>G13</f>
        <v>-53246.941250000003</v>
      </c>
      <c r="H15" s="37">
        <f t="shared" ref="H15:M15" si="2">H13</f>
        <v>132868.41750000001</v>
      </c>
      <c r="I15" s="37">
        <f t="shared" si="2"/>
        <v>132868.41750000001</v>
      </c>
      <c r="J15" s="37">
        <f t="shared" si="2"/>
        <v>132868.41750000001</v>
      </c>
      <c r="K15" s="37">
        <f t="shared" si="2"/>
        <v>132868.41750000001</v>
      </c>
      <c r="L15" s="37">
        <f t="shared" si="2"/>
        <v>154030.9117010184</v>
      </c>
      <c r="M15" s="37">
        <f t="shared" si="2"/>
        <v>154030.9117010184</v>
      </c>
    </row>
    <row r="16" spans="2:13">
      <c r="F16" s="69" t="s">
        <v>198</v>
      </c>
      <c r="G16" s="70">
        <f>-G15/(SUM($F$7:G7))</f>
        <v>-2.6048712300272562E-2</v>
      </c>
      <c r="H16" s="70">
        <f>-H15/(SUM($F$7:H7))</f>
        <v>6.5000000000000002E-2</v>
      </c>
      <c r="I16" s="70">
        <f>-I15/(SUM($F$7:I7))</f>
        <v>6.5000000000000002E-2</v>
      </c>
      <c r="J16" s="70">
        <f>-J15/(SUM($F$7:J7))</f>
        <v>6.5000000000000002E-2</v>
      </c>
      <c r="K16" s="70">
        <f>-K15/(SUM($F$7:K7))</f>
        <v>6.5000000000000002E-2</v>
      </c>
      <c r="L16" s="70">
        <f>-L15/(SUM($F$7:L7))</f>
        <v>7.5352814829499987E-2</v>
      </c>
      <c r="M16" s="70">
        <f>-M15/(SUM($F$7:M7))</f>
        <v>7.5352814829499987E-2</v>
      </c>
    </row>
    <row r="17" spans="2:13"/>
    <row r="18" spans="2:13">
      <c r="B18" s="5" t="s">
        <v>158</v>
      </c>
    </row>
    <row r="19" spans="2:13">
      <c r="B19" s="10" t="s">
        <v>148</v>
      </c>
      <c r="G19" s="37"/>
      <c r="H19" s="37"/>
      <c r="I19" s="37"/>
      <c r="J19" s="37"/>
      <c r="K19" s="37"/>
      <c r="L19" s="37"/>
      <c r="M19" s="38">
        <f>(M$3=Summary!$G$11)*Reversion!J19</f>
        <v>2200441.5957288342</v>
      </c>
    </row>
    <row r="20" spans="2:13" ht="19.8">
      <c r="B20" s="10" t="s">
        <v>149</v>
      </c>
      <c r="G20" s="37"/>
      <c r="H20" s="37"/>
      <c r="I20" s="37"/>
      <c r="J20" s="37"/>
      <c r="K20" s="37"/>
      <c r="L20" s="37"/>
      <c r="M20" s="65">
        <f>(M$3=Summary!$G$11)*Reversion!J20</f>
        <v>-44008.831914576687</v>
      </c>
    </row>
    <row r="21" spans="2:13">
      <c r="B21" s="5" t="s">
        <v>147</v>
      </c>
      <c r="G21" s="37"/>
      <c r="H21" s="37"/>
      <c r="I21" s="37"/>
      <c r="J21" s="37"/>
      <c r="K21" s="37"/>
      <c r="L21" s="37"/>
      <c r="M21" s="37">
        <f>SUM(M19:M20)</f>
        <v>2156432.7638142575</v>
      </c>
    </row>
    <row r="22" spans="2:13"/>
    <row r="23" spans="2:13">
      <c r="B23" s="5" t="s">
        <v>160</v>
      </c>
      <c r="F23" s="37">
        <f>F7+F15+F21</f>
        <v>-2044129.5</v>
      </c>
      <c r="G23" s="37">
        <f t="shared" ref="G23:M23" si="3">G7+G15+G21</f>
        <v>-53246.941250000003</v>
      </c>
      <c r="H23" s="37">
        <f t="shared" si="3"/>
        <v>132868.41750000001</v>
      </c>
      <c r="I23" s="37">
        <f t="shared" si="3"/>
        <v>132868.41750000001</v>
      </c>
      <c r="J23" s="37">
        <f t="shared" si="3"/>
        <v>132868.41750000001</v>
      </c>
      <c r="K23" s="37">
        <f t="shared" si="3"/>
        <v>132868.41750000001</v>
      </c>
      <c r="L23" s="37">
        <f t="shared" si="3"/>
        <v>154030.9117010184</v>
      </c>
      <c r="M23" s="37">
        <f t="shared" si="3"/>
        <v>2310463.6755152759</v>
      </c>
    </row>
    <row r="24" spans="2:13"/>
    <row r="25" spans="2:13">
      <c r="B25" s="10" t="s">
        <v>161</v>
      </c>
      <c r="F25" s="47">
        <f>IRR(F23:M23)</f>
        <v>5.8780492115270144E-2</v>
      </c>
    </row>
    <row r="26" spans="2:13">
      <c r="B26" s="10" t="s">
        <v>162</v>
      </c>
      <c r="F26" s="26">
        <f>SUMIF($F$23:$M$23,"&gt;0")/-SUMIF($F$23:$M$23,"&lt;0")</f>
        <v>1.4284361158508814</v>
      </c>
    </row>
    <row r="27" spans="2:13">
      <c r="B27" s="10" t="s">
        <v>163</v>
      </c>
      <c r="F27" s="37">
        <f>SUM(F23:M23)</f>
        <v>898591.81596629415</v>
      </c>
    </row>
    <row r="28" spans="2:13"/>
    <row r="29" spans="2:13">
      <c r="B29" s="33" t="s">
        <v>164</v>
      </c>
      <c r="C29" s="33"/>
      <c r="D29" s="33"/>
      <c r="E29" s="33"/>
      <c r="F29" s="68">
        <v>0</v>
      </c>
      <c r="G29" s="68">
        <f>F29+1</f>
        <v>1</v>
      </c>
      <c r="H29" s="68">
        <f t="shared" ref="H29:M29" si="4">G29+1</f>
        <v>2</v>
      </c>
      <c r="I29" s="68">
        <f t="shared" si="4"/>
        <v>3</v>
      </c>
      <c r="J29" s="68">
        <f t="shared" si="4"/>
        <v>4</v>
      </c>
      <c r="K29" s="68">
        <f t="shared" si="4"/>
        <v>5</v>
      </c>
      <c r="L29" s="68">
        <f t="shared" si="4"/>
        <v>6</v>
      </c>
      <c r="M29" s="68">
        <f t="shared" si="4"/>
        <v>7</v>
      </c>
    </row>
    <row r="30" spans="2:13">
      <c r="B30" s="5" t="s">
        <v>152</v>
      </c>
    </row>
    <row r="31" spans="2:13">
      <c r="B31" s="10" t="s">
        <v>110</v>
      </c>
      <c r="F31" s="37">
        <f>F7</f>
        <v>-2044129.5</v>
      </c>
    </row>
    <row r="32" spans="2:13" ht="19.8">
      <c r="B32" s="10" t="s">
        <v>131</v>
      </c>
      <c r="F32" s="65">
        <f>(F$3=0)*'Debt Financing'!E6</f>
        <v>950088.35915492964</v>
      </c>
    </row>
    <row r="33" spans="2:13">
      <c r="B33" s="5" t="s">
        <v>168</v>
      </c>
      <c r="F33" s="37">
        <f>SUM(F31:F32)</f>
        <v>-1094041.1408450704</v>
      </c>
    </row>
    <row r="34" spans="2:13"/>
    <row r="35" spans="2:13">
      <c r="B35" s="5" t="s">
        <v>153</v>
      </c>
    </row>
    <row r="36" spans="2:13">
      <c r="B36" s="10" t="s">
        <v>167</v>
      </c>
      <c r="G36" s="37">
        <f>G15</f>
        <v>-53246.941250000003</v>
      </c>
      <c r="H36" s="37">
        <f t="shared" ref="H36:M36" si="5">H15</f>
        <v>132868.41750000001</v>
      </c>
      <c r="I36" s="37">
        <f t="shared" si="5"/>
        <v>132868.41750000001</v>
      </c>
      <c r="J36" s="37">
        <f t="shared" si="5"/>
        <v>132868.41750000001</v>
      </c>
      <c r="K36" s="37">
        <f t="shared" si="5"/>
        <v>132868.41750000001</v>
      </c>
      <c r="L36" s="37">
        <f t="shared" si="5"/>
        <v>154030.9117010184</v>
      </c>
      <c r="M36" s="37">
        <f t="shared" si="5"/>
        <v>154030.9117010184</v>
      </c>
    </row>
    <row r="37" spans="2:13">
      <c r="B37" s="10" t="s">
        <v>125</v>
      </c>
      <c r="G37" s="37">
        <f>'Operating Statement'!F30</f>
        <v>0</v>
      </c>
      <c r="H37" s="37">
        <f>'Operating Statement'!G30</f>
        <v>-67177.964788732395</v>
      </c>
      <c r="I37" s="37">
        <f>'Operating Statement'!H30</f>
        <v>-67177.964788732395</v>
      </c>
      <c r="J37" s="37">
        <f>'Operating Statement'!I30</f>
        <v>-67177.964788732395</v>
      </c>
      <c r="K37" s="37">
        <f>'Operating Statement'!J30</f>
        <v>-67177.964788732395</v>
      </c>
      <c r="L37" s="37">
        <f>'Operating Statement'!K30</f>
        <v>-67177.964788732395</v>
      </c>
      <c r="M37" s="37">
        <f>'Operating Statement'!L30</f>
        <v>-67177.964788732395</v>
      </c>
    </row>
    <row r="38" spans="2:13">
      <c r="B38" s="5" t="s">
        <v>126</v>
      </c>
      <c r="G38" s="37">
        <f>SUM(G36:G37)</f>
        <v>-53246.941250000003</v>
      </c>
      <c r="H38" s="37">
        <f t="shared" ref="H38:M38" si="6">SUM(H36:H37)</f>
        <v>65690.452711267615</v>
      </c>
      <c r="I38" s="37">
        <f t="shared" si="6"/>
        <v>65690.452711267615</v>
      </c>
      <c r="J38" s="37">
        <f t="shared" si="6"/>
        <v>65690.452711267615</v>
      </c>
      <c r="K38" s="37">
        <f t="shared" si="6"/>
        <v>65690.452711267615</v>
      </c>
      <c r="L38" s="37">
        <f t="shared" si="6"/>
        <v>86852.946912286003</v>
      </c>
      <c r="M38" s="37">
        <f t="shared" si="6"/>
        <v>86852.946912286003</v>
      </c>
    </row>
    <row r="39" spans="2:13">
      <c r="F39" s="69" t="s">
        <v>170</v>
      </c>
      <c r="G39" s="70">
        <f>-G38/$F$33</f>
        <v>-4.8669962455772424E-2</v>
      </c>
      <c r="H39" s="70">
        <f t="shared" ref="H39:M39" si="7">-H38/$F$33</f>
        <v>6.0043859649122816E-2</v>
      </c>
      <c r="I39" s="70">
        <f t="shared" si="7"/>
        <v>6.0043859649122816E-2</v>
      </c>
      <c r="J39" s="70">
        <f t="shared" si="7"/>
        <v>6.0043859649122816E-2</v>
      </c>
      <c r="K39" s="70">
        <f t="shared" si="7"/>
        <v>6.0043859649122816E-2</v>
      </c>
      <c r="L39" s="70">
        <f t="shared" si="7"/>
        <v>7.9387276830557005E-2</v>
      </c>
      <c r="M39" s="70">
        <f t="shared" si="7"/>
        <v>7.9387276830557005E-2</v>
      </c>
    </row>
    <row r="40" spans="2:13"/>
    <row r="41" spans="2:13">
      <c r="B41" s="5" t="s">
        <v>158</v>
      </c>
    </row>
    <row r="42" spans="2:13">
      <c r="B42" s="10" t="s">
        <v>147</v>
      </c>
      <c r="M42" s="37">
        <f>M21</f>
        <v>2156432.7638142575</v>
      </c>
    </row>
    <row r="43" spans="2:13" ht="19.8">
      <c r="B43" s="10" t="s">
        <v>135</v>
      </c>
      <c r="M43" s="65">
        <f>-(M$3=Summary!$G$11)*'Debt Financing'!N7</f>
        <v>-959685.21126760566</v>
      </c>
    </row>
    <row r="44" spans="2:13">
      <c r="B44" s="5" t="s">
        <v>159</v>
      </c>
      <c r="M44" s="37">
        <f>SUM(M42:M43)</f>
        <v>1196747.5525466518</v>
      </c>
    </row>
    <row r="45" spans="2:13"/>
    <row r="46" spans="2:13">
      <c r="B46" s="5" t="s">
        <v>169</v>
      </c>
      <c r="F46" s="37">
        <f>F33+F38+F44</f>
        <v>-1094041.1408450704</v>
      </c>
      <c r="G46" s="37">
        <f t="shared" ref="G46:M46" si="8">G33+G38+G44</f>
        <v>-53246.941250000003</v>
      </c>
      <c r="H46" s="37">
        <f t="shared" si="8"/>
        <v>65690.452711267615</v>
      </c>
      <c r="I46" s="37">
        <f t="shared" si="8"/>
        <v>65690.452711267615</v>
      </c>
      <c r="J46" s="37">
        <f t="shared" si="8"/>
        <v>65690.452711267615</v>
      </c>
      <c r="K46" s="37">
        <f t="shared" si="8"/>
        <v>65690.452711267615</v>
      </c>
      <c r="L46" s="37">
        <f t="shared" si="8"/>
        <v>86852.946912286003</v>
      </c>
      <c r="M46" s="37">
        <f t="shared" si="8"/>
        <v>1283600.4994589379</v>
      </c>
    </row>
    <row r="47" spans="2:13"/>
    <row r="48" spans="2:13">
      <c r="B48" s="10" t="s">
        <v>165</v>
      </c>
      <c r="F48" s="47">
        <f>IRR(F46:M46)</f>
        <v>5.7809796859249474E-2</v>
      </c>
    </row>
    <row r="49" spans="2:6">
      <c r="B49" s="10" t="s">
        <v>166</v>
      </c>
      <c r="F49" s="26">
        <f>SUMIF($F$46:$M$46,"&gt;0")/-SUMIF($F$46:$M$46,"&lt;0")</f>
        <v>1.4235441670708104</v>
      </c>
    </row>
    <row r="50" spans="2:6">
      <c r="B50" s="10" t="s">
        <v>163</v>
      </c>
      <c r="F50" s="37">
        <f>SUM(F46:M46)</f>
        <v>485927.17512122414</v>
      </c>
    </row>
    <row r="51" spans="2:6"/>
    <row r="52" spans="2:6"/>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1</vt:i4>
      </vt:variant>
    </vt:vector>
  </HeadingPairs>
  <TitlesOfParts>
    <vt:vector size="8" baseType="lpstr">
      <vt:lpstr>Summary</vt:lpstr>
      <vt:lpstr>Comparables</vt:lpstr>
      <vt:lpstr>Acquisition and Stabilisation</vt:lpstr>
      <vt:lpstr>Operating Statement</vt:lpstr>
      <vt:lpstr>Debt Financing</vt:lpstr>
      <vt:lpstr>Reversion</vt:lpstr>
      <vt:lpstr>Property Returns</vt:lpstr>
      <vt:lpstr>GIA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Owen Tolley</dc:creator>
  <cp:lastModifiedBy>Owen Tolley</cp:lastModifiedBy>
  <dcterms:created xsi:type="dcterms:W3CDTF">2026-08-02T21:23:33Z</dcterms:created>
  <dcterms:modified xsi:type="dcterms:W3CDTF">2026-08-06T21:34:37Z</dcterms:modified>
</cp:coreProperties>
</file>