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wenTolley\Desktop\CRE\Ebb &amp; Flow, Reading\"/>
    </mc:Choice>
  </mc:AlternateContent>
  <xr:revisionPtr revIDLastSave="0" documentId="13_ncr:1_{C15189A8-AE36-4B1B-A585-1FC3F9619DA9}" xr6:coauthVersionLast="47" xr6:coauthVersionMax="47" xr10:uidLastSave="{00000000-0000-0000-0000-000000000000}"/>
  <bookViews>
    <workbookView xWindow="-120" yWindow="-16320" windowWidth="29040" windowHeight="15720" xr2:uid="{00000000-000D-0000-FFFF-FFFF00000000}"/>
  </bookViews>
  <sheets>
    <sheet name="Summary and Assumptions" sheetId="1" r:id="rId1"/>
    <sheet name="Acquisition" sheetId="2" r:id="rId2"/>
    <sheet name="Operating Statement" sheetId="3" r:id="rId3"/>
    <sheet name="Reversion" sheetId="4" r:id="rId4"/>
    <sheet name="Property Returns" sheetId="5" r:id="rId5"/>
  </sheets>
  <definedNames>
    <definedName name="GIA">'Summary and Assumptions'!$O$4</definedName>
    <definedName name="GLA">'Summary and Assumptions'!$O$5</definedName>
    <definedName name="_xlnm.Print_Area" localSheetId="0">'Summary and Assumptions'!$A$1:$O$71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O8" i="1" s="1"/>
  <c r="F64" i="1"/>
  <c r="G64" i="1" s="1"/>
  <c r="H64" i="1" s="1"/>
  <c r="I64" i="1" s="1"/>
  <c r="J64" i="1" s="1"/>
  <c r="K64" i="1" s="1"/>
  <c r="L64" i="1" s="1"/>
  <c r="M64" i="1" s="1"/>
  <c r="N64" i="1" s="1"/>
  <c r="E64" i="1"/>
  <c r="M55" i="1"/>
  <c r="E55" i="1"/>
  <c r="F55" i="1"/>
  <c r="G55" i="1"/>
  <c r="H55" i="1"/>
  <c r="I55" i="1"/>
  <c r="J55" i="1"/>
  <c r="K55" i="1"/>
  <c r="L55" i="1"/>
  <c r="D55" i="1"/>
  <c r="J47" i="1"/>
  <c r="J48" i="1" s="1"/>
  <c r="J45" i="1"/>
  <c r="J44" i="1" s="1"/>
  <c r="L43" i="1"/>
  <c r="N43" i="1"/>
  <c r="O43" i="1" s="1"/>
  <c r="K43" i="1"/>
  <c r="G3" i="5"/>
  <c r="H3" i="5" s="1"/>
  <c r="I3" i="5" s="1"/>
  <c r="J3" i="5" s="1"/>
  <c r="K3" i="5" s="1"/>
  <c r="L3" i="5" s="1"/>
  <c r="M3" i="5" s="1"/>
  <c r="N3" i="5" s="1"/>
  <c r="O3" i="5" s="1"/>
  <c r="P3" i="5" s="1"/>
  <c r="G35" i="1"/>
  <c r="F40" i="4"/>
  <c r="H38" i="2"/>
  <c r="I38" i="1"/>
  <c r="I37" i="1"/>
  <c r="I36" i="1"/>
  <c r="F41" i="2"/>
  <c r="F40" i="2"/>
  <c r="E9" i="3"/>
  <c r="E18" i="3"/>
  <c r="G13" i="3"/>
  <c r="H13" i="3" s="1"/>
  <c r="G14" i="3"/>
  <c r="G12" i="5" s="1"/>
  <c r="G5" i="3"/>
  <c r="H5" i="3" s="1"/>
  <c r="I5" i="3" s="1"/>
  <c r="J5" i="3" s="1"/>
  <c r="K5" i="3" s="1"/>
  <c r="L5" i="3" s="1"/>
  <c r="M5" i="3" s="1"/>
  <c r="N5" i="3" s="1"/>
  <c r="O5" i="3" s="1"/>
  <c r="P5" i="3" s="1"/>
  <c r="Q5" i="3" s="1"/>
  <c r="O3" i="4" s="1"/>
  <c r="H4" i="3"/>
  <c r="B2" i="3"/>
  <c r="E21" i="1"/>
  <c r="N38" i="1" s="1"/>
  <c r="O27" i="1"/>
  <c r="O26" i="1"/>
  <c r="N28" i="1"/>
  <c r="O23" i="1"/>
  <c r="O24" i="1"/>
  <c r="O25" i="1"/>
  <c r="O22" i="1"/>
  <c r="O21" i="1"/>
  <c r="M32" i="1"/>
  <c r="O32" i="1" s="1"/>
  <c r="M31" i="1"/>
  <c r="O31" i="1" s="1"/>
  <c r="F16" i="2"/>
  <c r="F7" i="2"/>
  <c r="H11" i="2"/>
  <c r="C16" i="1"/>
  <c r="C15" i="1"/>
  <c r="C13" i="1"/>
  <c r="C14" i="1"/>
  <c r="H15" i="1"/>
  <c r="I15" i="1" s="1"/>
  <c r="H16" i="1"/>
  <c r="I16" i="1" s="1"/>
  <c r="H13" i="1"/>
  <c r="I13" i="1" s="1"/>
  <c r="G14" i="1"/>
  <c r="H14" i="1" s="1"/>
  <c r="I14" i="1" s="1"/>
  <c r="F12" i="1"/>
  <c r="H7" i="3" l="1"/>
  <c r="H22" i="3"/>
  <c r="I4" i="3"/>
  <c r="H38" i="4"/>
  <c r="H35" i="1"/>
  <c r="I13" i="3"/>
  <c r="H14" i="3"/>
  <c r="H12" i="5" s="1"/>
  <c r="F27" i="2"/>
  <c r="E29" i="3"/>
  <c r="E28" i="3"/>
  <c r="F26" i="2"/>
  <c r="E25" i="3"/>
  <c r="F23" i="2"/>
  <c r="E26" i="3"/>
  <c r="F24" i="2"/>
  <c r="E27" i="3"/>
  <c r="F25" i="2"/>
  <c r="E24" i="3"/>
  <c r="F22" i="2"/>
  <c r="E23" i="3"/>
  <c r="F21" i="2"/>
  <c r="O28" i="1"/>
  <c r="L22" i="1" s="1"/>
  <c r="O33" i="1"/>
  <c r="H12" i="2"/>
  <c r="G29" i="1" s="1"/>
  <c r="O5" i="1"/>
  <c r="E17" i="1"/>
  <c r="O9" i="1" s="1"/>
  <c r="J15" i="1"/>
  <c r="K15" i="1"/>
  <c r="J16" i="1"/>
  <c r="K16" i="1"/>
  <c r="J13" i="1"/>
  <c r="K13" i="1"/>
  <c r="J14" i="1"/>
  <c r="K14" i="1"/>
  <c r="I22" i="3" l="1"/>
  <c r="I7" i="3"/>
  <c r="J4" i="3"/>
  <c r="G30" i="3"/>
  <c r="H30" i="3" s="1"/>
  <c r="H28" i="2"/>
  <c r="G28" i="2" s="1"/>
  <c r="I14" i="3"/>
  <c r="I12" i="5" s="1"/>
  <c r="J13" i="3"/>
  <c r="G11" i="2"/>
  <c r="G12" i="2" s="1"/>
  <c r="O6" i="1"/>
  <c r="K17" i="1"/>
  <c r="H6" i="2" s="1"/>
  <c r="G8" i="3" s="1"/>
  <c r="J22" i="3" l="1"/>
  <c r="J7" i="3"/>
  <c r="K4" i="3"/>
  <c r="I30" i="3"/>
  <c r="J14" i="3"/>
  <c r="J12" i="5" s="1"/>
  <c r="K13" i="3"/>
  <c r="G9" i="3"/>
  <c r="H8" i="3"/>
  <c r="G10" i="3"/>
  <c r="G11" i="5" s="1"/>
  <c r="G13" i="5" s="1"/>
  <c r="G6" i="2"/>
  <c r="H7" i="2"/>
  <c r="J30" i="3" l="1"/>
  <c r="K22" i="3"/>
  <c r="K7" i="3"/>
  <c r="L4" i="3"/>
  <c r="K14" i="3"/>
  <c r="K12" i="5" s="1"/>
  <c r="L13" i="3"/>
  <c r="H9" i="3"/>
  <c r="H10" i="3" s="1"/>
  <c r="H11" i="5" s="1"/>
  <c r="H13" i="5" s="1"/>
  <c r="I8" i="3"/>
  <c r="G23" i="3"/>
  <c r="G24" i="3"/>
  <c r="H24" i="3" s="1"/>
  <c r="I24" i="3" s="1"/>
  <c r="J24" i="3" s="1"/>
  <c r="G27" i="3"/>
  <c r="H27" i="3" s="1"/>
  <c r="I27" i="3" s="1"/>
  <c r="J27" i="3" s="1"/>
  <c r="G29" i="3"/>
  <c r="H29" i="3" s="1"/>
  <c r="I29" i="3" s="1"/>
  <c r="J29" i="3" s="1"/>
  <c r="G17" i="3"/>
  <c r="G26" i="3"/>
  <c r="H26" i="3" s="1"/>
  <c r="I26" i="3" s="1"/>
  <c r="J26" i="3" s="1"/>
  <c r="G25" i="3"/>
  <c r="H25" i="3" s="1"/>
  <c r="I25" i="3" s="1"/>
  <c r="J25" i="3" s="1"/>
  <c r="G28" i="3"/>
  <c r="H28" i="3" s="1"/>
  <c r="I28" i="3" s="1"/>
  <c r="J28" i="3" s="1"/>
  <c r="G35" i="3"/>
  <c r="G21" i="5" s="1"/>
  <c r="G22" i="5" s="1"/>
  <c r="G7" i="2"/>
  <c r="G8" i="2" s="1"/>
  <c r="H8" i="2"/>
  <c r="G28" i="1" s="1"/>
  <c r="G30" i="1" s="1"/>
  <c r="K30" i="3" l="1"/>
  <c r="K26" i="3"/>
  <c r="L22" i="3"/>
  <c r="L7" i="3"/>
  <c r="M4" i="3"/>
  <c r="K24" i="3"/>
  <c r="K27" i="3"/>
  <c r="K29" i="3"/>
  <c r="K25" i="3"/>
  <c r="K28" i="3"/>
  <c r="L14" i="3"/>
  <c r="L12" i="5" s="1"/>
  <c r="M13" i="3"/>
  <c r="I9" i="3"/>
  <c r="I10" i="3" s="1"/>
  <c r="I11" i="5" s="1"/>
  <c r="I13" i="5" s="1"/>
  <c r="J8" i="3"/>
  <c r="H23" i="3"/>
  <c r="H31" i="3" s="1"/>
  <c r="H17" i="5" s="1"/>
  <c r="H17" i="3"/>
  <c r="H35" i="3"/>
  <c r="H21" i="5" s="1"/>
  <c r="H22" i="5" s="1"/>
  <c r="G18" i="3"/>
  <c r="G31" i="3"/>
  <c r="G17" i="5" s="1"/>
  <c r="H15" i="2"/>
  <c r="H33" i="2"/>
  <c r="G33" i="2" s="1"/>
  <c r="H22" i="2"/>
  <c r="G22" i="2" s="1"/>
  <c r="H23" i="2"/>
  <c r="G23" i="2" s="1"/>
  <c r="H24" i="2"/>
  <c r="G24" i="2" s="1"/>
  <c r="H25" i="2"/>
  <c r="G25" i="2" s="1"/>
  <c r="H26" i="2"/>
  <c r="G26" i="2" s="1"/>
  <c r="H21" i="2"/>
  <c r="H27" i="2"/>
  <c r="L24" i="3" l="1"/>
  <c r="L27" i="3"/>
  <c r="L29" i="3"/>
  <c r="L25" i="3"/>
  <c r="L28" i="3"/>
  <c r="L26" i="3"/>
  <c r="L30" i="3"/>
  <c r="M22" i="3"/>
  <c r="M7" i="3"/>
  <c r="N4" i="3"/>
  <c r="G19" i="3"/>
  <c r="G33" i="3" s="1"/>
  <c r="G14" i="5"/>
  <c r="G15" i="5" s="1"/>
  <c r="G19" i="5" s="1"/>
  <c r="G24" i="5" s="1"/>
  <c r="G32" i="5" s="1"/>
  <c r="M14" i="3"/>
  <c r="M12" i="5" s="1"/>
  <c r="N13" i="3"/>
  <c r="J9" i="3"/>
  <c r="J10" i="3" s="1"/>
  <c r="J11" i="5" s="1"/>
  <c r="J13" i="5" s="1"/>
  <c r="K8" i="3"/>
  <c r="I23" i="3"/>
  <c r="I31" i="3" s="1"/>
  <c r="I17" i="5" s="1"/>
  <c r="I17" i="3"/>
  <c r="I35" i="3"/>
  <c r="I21" i="5" s="1"/>
  <c r="I22" i="5" s="1"/>
  <c r="H18" i="3"/>
  <c r="H16" i="2"/>
  <c r="G16" i="2" s="1"/>
  <c r="G15" i="2"/>
  <c r="G21" i="2"/>
  <c r="H29" i="2"/>
  <c r="G33" i="1" s="1"/>
  <c r="G27" i="2"/>
  <c r="G37" i="3" l="1"/>
  <c r="C56" i="1"/>
  <c r="M25" i="3"/>
  <c r="M27" i="3"/>
  <c r="M28" i="3"/>
  <c r="M29" i="3"/>
  <c r="M24" i="3"/>
  <c r="N22" i="3"/>
  <c r="N7" i="3"/>
  <c r="O4" i="3"/>
  <c r="M26" i="3"/>
  <c r="M30" i="3"/>
  <c r="G31" i="1"/>
  <c r="G32" i="1" s="1"/>
  <c r="G34" i="1" s="1"/>
  <c r="H17" i="2"/>
  <c r="H31" i="2" s="1"/>
  <c r="H39" i="2" s="1"/>
  <c r="H14" i="5"/>
  <c r="H15" i="5" s="1"/>
  <c r="H19" i="5" s="1"/>
  <c r="H24" i="5" s="1"/>
  <c r="H32" i="5" s="1"/>
  <c r="H19" i="3"/>
  <c r="H33" i="3" s="1"/>
  <c r="N14" i="3"/>
  <c r="N12" i="5" s="1"/>
  <c r="O13" i="3"/>
  <c r="K9" i="3"/>
  <c r="K10" i="3" s="1"/>
  <c r="K11" i="5" s="1"/>
  <c r="K13" i="5" s="1"/>
  <c r="L8" i="3"/>
  <c r="J23" i="3"/>
  <c r="J31" i="3" s="1"/>
  <c r="J17" i="5" s="1"/>
  <c r="J35" i="3"/>
  <c r="J21" i="5" s="1"/>
  <c r="J22" i="5" s="1"/>
  <c r="J17" i="3"/>
  <c r="I18" i="3"/>
  <c r="G17" i="2"/>
  <c r="G29" i="2"/>
  <c r="H37" i="3" l="1"/>
  <c r="D56" i="1"/>
  <c r="O22" i="3"/>
  <c r="O7" i="3"/>
  <c r="P4" i="3"/>
  <c r="N25" i="3"/>
  <c r="N27" i="3"/>
  <c r="N28" i="3"/>
  <c r="N29" i="3"/>
  <c r="N24" i="3"/>
  <c r="N26" i="3"/>
  <c r="N30" i="3"/>
  <c r="I14" i="5"/>
  <c r="I15" i="5" s="1"/>
  <c r="I19" i="5" s="1"/>
  <c r="I24" i="5" s="1"/>
  <c r="I32" i="5" s="1"/>
  <c r="I19" i="3"/>
  <c r="I33" i="3" s="1"/>
  <c r="F5" i="5"/>
  <c r="G36" i="1"/>
  <c r="O14" i="3"/>
  <c r="O12" i="5" s="1"/>
  <c r="P13" i="3"/>
  <c r="L9" i="3"/>
  <c r="L10" i="3" s="1"/>
  <c r="L11" i="5" s="1"/>
  <c r="L13" i="5" s="1"/>
  <c r="M8" i="3"/>
  <c r="K23" i="3"/>
  <c r="K31" i="3" s="1"/>
  <c r="K17" i="5" s="1"/>
  <c r="K17" i="3"/>
  <c r="K35" i="3"/>
  <c r="K21" i="5" s="1"/>
  <c r="K22" i="5" s="1"/>
  <c r="J18" i="3"/>
  <c r="H41" i="2"/>
  <c r="F7" i="5" s="1"/>
  <c r="H40" i="2"/>
  <c r="H35" i="2"/>
  <c r="G35" i="2" s="1"/>
  <c r="G31" i="2"/>
  <c r="I37" i="3" l="1"/>
  <c r="E56" i="1"/>
  <c r="O25" i="3"/>
  <c r="O27" i="3"/>
  <c r="O28" i="3"/>
  <c r="O29" i="3"/>
  <c r="O24" i="3"/>
  <c r="Q4" i="3"/>
  <c r="P22" i="3"/>
  <c r="P7" i="3"/>
  <c r="O26" i="3"/>
  <c r="O30" i="3"/>
  <c r="J14" i="5"/>
  <c r="J15" i="5" s="1"/>
  <c r="J19" i="5" s="1"/>
  <c r="J24" i="5" s="1"/>
  <c r="J32" i="5" s="1"/>
  <c r="J19" i="3"/>
  <c r="J33" i="3" s="1"/>
  <c r="F6" i="5"/>
  <c r="F8" i="5" s="1"/>
  <c r="G37" i="1"/>
  <c r="G38" i="1" s="1"/>
  <c r="P14" i="3"/>
  <c r="P12" i="5" s="1"/>
  <c r="Q13" i="3"/>
  <c r="L23" i="3"/>
  <c r="L31" i="3" s="1"/>
  <c r="L17" i="5" s="1"/>
  <c r="L17" i="3"/>
  <c r="L35" i="3"/>
  <c r="L21" i="5" s="1"/>
  <c r="L22" i="5" s="1"/>
  <c r="M9" i="3"/>
  <c r="M10" i="3" s="1"/>
  <c r="M11" i="5" s="1"/>
  <c r="M13" i="5" s="1"/>
  <c r="N8" i="3"/>
  <c r="K18" i="3"/>
  <c r="J37" i="3" l="1"/>
  <c r="F56" i="1"/>
  <c r="Q22" i="3"/>
  <c r="Q7" i="3"/>
  <c r="H3" i="4"/>
  <c r="P24" i="3"/>
  <c r="P29" i="3"/>
  <c r="P28" i="3"/>
  <c r="P27" i="3"/>
  <c r="P25" i="3"/>
  <c r="P26" i="3"/>
  <c r="P30" i="3"/>
  <c r="K14" i="5"/>
  <c r="K15" i="5" s="1"/>
  <c r="K19" i="5" s="1"/>
  <c r="K24" i="5" s="1"/>
  <c r="K19" i="3"/>
  <c r="K33" i="3" s="1"/>
  <c r="I25" i="5"/>
  <c r="J25" i="5"/>
  <c r="F32" i="5"/>
  <c r="H65" i="1" s="1"/>
  <c r="H25" i="5"/>
  <c r="G25" i="5"/>
  <c r="H11" i="4"/>
  <c r="Q14" i="3"/>
  <c r="L18" i="3"/>
  <c r="M23" i="3"/>
  <c r="M31" i="3" s="1"/>
  <c r="M17" i="5" s="1"/>
  <c r="M17" i="3"/>
  <c r="M35" i="3"/>
  <c r="M21" i="5" s="1"/>
  <c r="M22" i="5" s="1"/>
  <c r="N9" i="3"/>
  <c r="N10" i="3" s="1"/>
  <c r="N11" i="5" s="1"/>
  <c r="N13" i="5" s="1"/>
  <c r="O8" i="3"/>
  <c r="D65" i="1" l="1"/>
  <c r="E65" i="1"/>
  <c r="F65" i="1"/>
  <c r="G65" i="1"/>
  <c r="K37" i="3"/>
  <c r="G56" i="1"/>
  <c r="Q27" i="3"/>
  <c r="H25" i="4" s="1"/>
  <c r="G25" i="4" s="1"/>
  <c r="Q28" i="3"/>
  <c r="H26" i="4" s="1"/>
  <c r="G26" i="4" s="1"/>
  <c r="Q29" i="3"/>
  <c r="H27" i="4" s="1"/>
  <c r="G27" i="4" s="1"/>
  <c r="Q24" i="3"/>
  <c r="H22" i="4" s="1"/>
  <c r="G22" i="4" s="1"/>
  <c r="Q25" i="3"/>
  <c r="H23" i="4" s="1"/>
  <c r="G23" i="4" s="1"/>
  <c r="Q26" i="3"/>
  <c r="H24" i="4" s="1"/>
  <c r="G24" i="4" s="1"/>
  <c r="Q30" i="3"/>
  <c r="H28" i="4" s="1"/>
  <c r="G28" i="4" s="1"/>
  <c r="L14" i="5"/>
  <c r="L15" i="5" s="1"/>
  <c r="L19" i="5" s="1"/>
  <c r="L24" i="5" s="1"/>
  <c r="L19" i="3"/>
  <c r="L33" i="3" s="1"/>
  <c r="K32" i="5"/>
  <c r="I65" i="1" s="1"/>
  <c r="K25" i="5"/>
  <c r="G11" i="4"/>
  <c r="G12" i="4" s="1"/>
  <c r="H12" i="4"/>
  <c r="H29" i="1" s="1"/>
  <c r="M18" i="3"/>
  <c r="N23" i="3"/>
  <c r="N31" i="3" s="1"/>
  <c r="N17" i="5" s="1"/>
  <c r="N17" i="3"/>
  <c r="N35" i="3"/>
  <c r="N21" i="5" s="1"/>
  <c r="N22" i="5" s="1"/>
  <c r="O9" i="3"/>
  <c r="O10" i="3" s="1"/>
  <c r="O11" i="5" s="1"/>
  <c r="O13" i="5" s="1"/>
  <c r="P8" i="3"/>
  <c r="L37" i="3" l="1"/>
  <c r="H56" i="1"/>
  <c r="L25" i="5"/>
  <c r="L32" i="5"/>
  <c r="J65" i="1" s="1"/>
  <c r="M14" i="5"/>
  <c r="M15" i="5" s="1"/>
  <c r="M19" i="5" s="1"/>
  <c r="M24" i="5" s="1"/>
  <c r="M19" i="3"/>
  <c r="M33" i="3" s="1"/>
  <c r="N18" i="3"/>
  <c r="O23" i="3"/>
  <c r="O31" i="3" s="1"/>
  <c r="O17" i="5" s="1"/>
  <c r="O17" i="3"/>
  <c r="O35" i="3"/>
  <c r="O21" i="5" s="1"/>
  <c r="O22" i="5" s="1"/>
  <c r="P9" i="3"/>
  <c r="P10" i="3" s="1"/>
  <c r="P11" i="5" s="1"/>
  <c r="P13" i="5" s="1"/>
  <c r="Q8" i="3"/>
  <c r="M37" i="3" l="1"/>
  <c r="I56" i="1"/>
  <c r="N14" i="5"/>
  <c r="N15" i="5" s="1"/>
  <c r="N19" i="5" s="1"/>
  <c r="N24" i="5" s="1"/>
  <c r="N19" i="3"/>
  <c r="N33" i="3" s="1"/>
  <c r="M25" i="5"/>
  <c r="M32" i="5"/>
  <c r="K65" i="1" s="1"/>
  <c r="O18" i="3"/>
  <c r="P23" i="3"/>
  <c r="P31" i="3" s="1"/>
  <c r="P17" i="5" s="1"/>
  <c r="P17" i="3"/>
  <c r="P35" i="3"/>
  <c r="P21" i="5" s="1"/>
  <c r="P22" i="5" s="1"/>
  <c r="Q9" i="3"/>
  <c r="H6" i="4"/>
  <c r="N37" i="3" l="1"/>
  <c r="J56" i="1"/>
  <c r="N32" i="5"/>
  <c r="L65" i="1" s="1"/>
  <c r="N25" i="5"/>
  <c r="O14" i="5"/>
  <c r="O15" i="5" s="1"/>
  <c r="O19" i="5" s="1"/>
  <c r="O24" i="5" s="1"/>
  <c r="O19" i="3"/>
  <c r="O33" i="3" s="1"/>
  <c r="H7" i="4"/>
  <c r="Q10" i="3"/>
  <c r="Q17" i="3" s="1"/>
  <c r="P18" i="3"/>
  <c r="G6" i="4"/>
  <c r="O37" i="3" l="1"/>
  <c r="K56" i="1"/>
  <c r="Q23" i="3"/>
  <c r="Q35" i="3"/>
  <c r="H33" i="4" s="1"/>
  <c r="G33" i="4" s="1"/>
  <c r="G7" i="4"/>
  <c r="G8" i="4" s="1"/>
  <c r="H8" i="4"/>
  <c r="H28" i="1" s="1"/>
  <c r="H30" i="1" s="1"/>
  <c r="O25" i="5"/>
  <c r="O32" i="5"/>
  <c r="M65" i="1" s="1"/>
  <c r="P14" i="5"/>
  <c r="P15" i="5" s="1"/>
  <c r="P19" i="5" s="1"/>
  <c r="P24" i="5" s="1"/>
  <c r="P25" i="5" s="1"/>
  <c r="P19" i="3"/>
  <c r="P33" i="3" s="1"/>
  <c r="Q18" i="3"/>
  <c r="H15" i="4"/>
  <c r="P37" i="3" l="1"/>
  <c r="L56" i="1"/>
  <c r="H41" i="1"/>
  <c r="Q31" i="3"/>
  <c r="H21" i="4"/>
  <c r="H16" i="4"/>
  <c r="Q19" i="3"/>
  <c r="G15" i="4"/>
  <c r="Q33" i="3" l="1"/>
  <c r="H29" i="4"/>
  <c r="H33" i="1" s="1"/>
  <c r="G21" i="4"/>
  <c r="G29" i="4" s="1"/>
  <c r="H17" i="4"/>
  <c r="G16" i="4"/>
  <c r="G17" i="4" s="1"/>
  <c r="H31" i="1"/>
  <c r="H32" i="1" s="1"/>
  <c r="Q37" i="3" l="1"/>
  <c r="M56" i="1"/>
  <c r="H31" i="4"/>
  <c r="G31" i="4" s="1"/>
  <c r="H34" i="1"/>
  <c r="H39" i="4" l="1"/>
  <c r="H35" i="4"/>
  <c r="G35" i="4" s="1"/>
  <c r="H40" i="4" l="1"/>
  <c r="H36" i="1"/>
  <c r="P28" i="5"/>
  <c r="P29" i="5" l="1"/>
  <c r="P30" i="5" s="1"/>
  <c r="P32" i="5" s="1"/>
  <c r="H37" i="1"/>
  <c r="H38" i="1" s="1"/>
  <c r="H41" i="4"/>
  <c r="P65" i="1" l="1"/>
  <c r="N65" i="1"/>
  <c r="F36" i="5"/>
  <c r="H42" i="1" s="1"/>
  <c r="F34" i="5"/>
  <c r="E41" i="1" s="1"/>
  <c r="F35" i="5"/>
  <c r="E42" i="1" s="1"/>
  <c r="J4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Owen Tolley</author>
  </authors>
  <commentList>
    <comment ref="O4" authorId="0" shapeId="0" xr:uid="{586B029C-19AD-47CB-8505-D240197D5C7E}">
      <text>
        <r>
          <rPr>
            <b/>
            <sz val="10"/>
            <color indexed="81"/>
            <rFont val="Tahoma"/>
            <family val="2"/>
          </rPr>
          <t>Owen Tolley:</t>
        </r>
        <r>
          <rPr>
            <sz val="10"/>
            <color indexed="81"/>
            <rFont val="Tahoma"/>
            <family val="2"/>
          </rPr>
          <t xml:space="preserve">
https://www.loopnet.co.uk/listing/station-hl-reading/39050947/</t>
        </r>
      </text>
    </comment>
    <comment ref="D12" authorId="0" shapeId="0" xr:uid="{B9C7D1E6-3408-41D2-ABCA-FF8E99C10F53}">
      <text>
        <r>
          <rPr>
            <b/>
            <sz val="10"/>
            <color indexed="81"/>
            <rFont val="Tahoma"/>
            <family val="2"/>
          </rPr>
          <t>Owen Tolley:</t>
        </r>
        <r>
          <rPr>
            <sz val="10"/>
            <color indexed="81"/>
            <rFont val="Tahoma"/>
            <family val="2"/>
          </rPr>
          <t xml:space="preserve">
https://www.bbc.co.uk/news/articles/cy0j11dlpngo
The article above contains information about the 600 new apartments being built as per phase 3A of the Station Hill regeneration project. 34 studios, 330 1-beds, 214 2-beds, and 22 3-beds are due to be built by the same developer (Lincoln MGT) as the Ebb &amp; Flow apartment complex.
I have used the phase 3A unit mix to derive the estimated unit mix for the Ebb &amp; Flow apartments, with the only change being two less 1-beds to ensure the total units sum to 598. </t>
        </r>
      </text>
    </comment>
    <comment ref="E12" authorId="0" shapeId="0" xr:uid="{76CAB874-D842-45EC-9281-BA8A44A67BBE}">
      <text>
        <r>
          <rPr>
            <b/>
            <sz val="10"/>
            <color indexed="81"/>
            <rFont val="Tahoma"/>
            <family val="2"/>
          </rPr>
          <t>Owen Tolley:</t>
        </r>
        <r>
          <rPr>
            <sz val="10"/>
            <color indexed="81"/>
            <rFont val="Tahoma"/>
            <family val="2"/>
          </rPr>
          <t xml:space="preserve">
Information taken from the Ebb &amp; Flow website.</t>
        </r>
      </text>
    </comment>
    <comment ref="F12" authorId="0" shapeId="0" xr:uid="{A36C82BC-06D3-435C-BDC2-98C3FF79ACCB}">
      <text>
        <r>
          <rPr>
            <b/>
            <sz val="10"/>
            <color indexed="81"/>
            <rFont val="Tahoma"/>
            <family val="2"/>
          </rPr>
          <t>Owen Tolley:</t>
        </r>
        <r>
          <rPr>
            <sz val="10"/>
            <color indexed="81"/>
            <rFont val="Tahoma"/>
            <family val="2"/>
          </rPr>
          <t xml:space="preserve">
Starting rent for each unit type is listed on the Ebb &amp; Flow website.</t>
        </r>
      </text>
    </comment>
    <comment ref="N12" authorId="0" shapeId="0" xr:uid="{672AA8FA-F951-465C-BE40-C9EB3B3D6BF9}">
      <text>
        <r>
          <rPr>
            <b/>
            <sz val="10"/>
            <color indexed="81"/>
            <rFont val="Tahoma"/>
            <family val="2"/>
          </rPr>
          <t>Owen Tolley:</t>
        </r>
        <r>
          <rPr>
            <sz val="10"/>
            <color indexed="81"/>
            <rFont val="Tahoma"/>
            <family val="2"/>
          </rPr>
          <t xml:space="preserve">
The ST market growth rate will be applied for the first two years before stabilising to CPI + 1.00%.</t>
        </r>
      </text>
    </comment>
    <comment ref="O12" authorId="0" shapeId="0" xr:uid="{BAEC964F-41DA-4D57-A868-449740160D1D}">
      <text>
        <r>
          <rPr>
            <b/>
            <sz val="10"/>
            <color indexed="81"/>
            <rFont val="Tahoma"/>
            <family val="2"/>
          </rPr>
          <t>Owen Tolley:</t>
        </r>
        <r>
          <rPr>
            <sz val="10"/>
            <color indexed="81"/>
            <rFont val="Tahoma"/>
            <family val="2"/>
          </rPr>
          <t xml:space="preserve">
Blend of Knight Frank's 2026 and 2027 rental growth estimate for multifamily rents.</t>
        </r>
      </text>
    </comment>
    <comment ref="G13" authorId="0" shapeId="0" xr:uid="{B8468ABF-5441-4E20-8704-0B0C93B43083}">
      <text>
        <r>
          <rPr>
            <b/>
            <sz val="10"/>
            <color indexed="81"/>
            <rFont val="Tahoma"/>
            <family val="2"/>
          </rPr>
          <t>Owen Tolley:</t>
        </r>
        <r>
          <rPr>
            <sz val="10"/>
            <color indexed="81"/>
            <rFont val="Tahoma"/>
            <family val="2"/>
          </rPr>
          <t xml:space="preserve">
Assumed by analogy to the 1-bed.</t>
        </r>
      </text>
    </comment>
    <comment ref="O13" authorId="0" shapeId="0" xr:uid="{142898CB-DB24-411C-A7AB-59586AB59896}">
      <text>
        <r>
          <rPr>
            <b/>
            <sz val="10"/>
            <color indexed="81"/>
            <rFont val="Tahoma"/>
            <family val="2"/>
          </rPr>
          <t>Owen Tolley:</t>
        </r>
        <r>
          <rPr>
            <sz val="10"/>
            <color indexed="81"/>
            <rFont val="Tahoma"/>
            <family val="2"/>
          </rPr>
          <t xml:space="preserve">
Target CPI + 1.00%</t>
        </r>
      </text>
    </comment>
    <comment ref="G14" authorId="0" shapeId="0" xr:uid="{B23148E4-6219-49DE-AF46-6D1FC996D378}">
      <text>
        <r>
          <rPr>
            <b/>
            <sz val="10"/>
            <color indexed="81"/>
            <rFont val="Tahoma"/>
            <family val="2"/>
          </rPr>
          <t>Owen Tolley:</t>
        </r>
        <r>
          <rPr>
            <sz val="10"/>
            <color indexed="81"/>
            <rFont val="Tahoma"/>
            <family val="2"/>
          </rPr>
          <t xml:space="preserve">
There were two one bed units at E&amp;F listed on the market as of the modelling date: one for £1,890 pcm and another for £1,825 pcm.
I'm assuming the difference between rents within the same unit type is due additional premium features, such as a balcony or a flat on a higher floor.
I have taken the average of the two listings rent, which gives </t>
        </r>
        <r>
          <rPr>
            <b/>
            <sz val="10"/>
            <color indexed="81"/>
            <rFont val="Tahoma"/>
            <family val="2"/>
          </rPr>
          <t>£1,857.50</t>
        </r>
        <r>
          <rPr>
            <sz val="10"/>
            <color indexed="81"/>
            <rFont val="Tahoma"/>
            <family val="2"/>
          </rPr>
          <t xml:space="preserve">, and divided it by the listed starting rents on E&amp;F's website (1,857.50/1,700) to give a scalar of </t>
        </r>
        <r>
          <rPr>
            <b/>
            <sz val="10"/>
            <color indexed="81"/>
            <rFont val="Tahoma"/>
            <family val="2"/>
          </rPr>
          <t xml:space="preserve">~1.09x </t>
        </r>
        <r>
          <rPr>
            <sz val="10"/>
            <color indexed="81"/>
            <rFont val="Tahoma"/>
            <family val="2"/>
          </rPr>
          <t>that I can use to calculate the estimated market rent of the different unit types.</t>
        </r>
      </text>
    </comment>
    <comment ref="O14" authorId="0" shapeId="0" xr:uid="{A42514C9-87F2-463A-B03A-E14056B4AF5A}">
      <text>
        <r>
          <rPr>
            <b/>
            <sz val="10"/>
            <color indexed="81"/>
            <rFont val="Tahoma"/>
            <family val="2"/>
          </rPr>
          <t xml:space="preserve">Owen Tolley:
</t>
        </r>
        <r>
          <rPr>
            <sz val="10"/>
            <color indexed="81"/>
            <rFont val="Tahoma"/>
            <family val="2"/>
          </rPr>
          <t>Supported by HY'26 report from Grainger plc, the UK's largest listed provider of private rental homes. The occupancy across their portfolio was 96.0%.</t>
        </r>
        <r>
          <rPr>
            <b/>
            <sz val="10"/>
            <color indexed="81"/>
            <rFont val="Tahoma"/>
            <family val="2"/>
          </rPr>
          <t xml:space="preserve">
</t>
        </r>
        <r>
          <rPr>
            <sz val="10"/>
            <color indexed="81"/>
            <rFont val="Tahoma"/>
            <family val="2"/>
          </rPr>
          <t xml:space="preserve">
https://corporate.graingerplc.co.uk/sites/graingerplc-corp/files/2026-05/HY26-announcement.pdf</t>
        </r>
      </text>
    </comment>
    <comment ref="G15" authorId="0" shapeId="0" xr:uid="{6576ECBB-31E7-4A71-8D76-90AE0375919B}">
      <text>
        <r>
          <rPr>
            <b/>
            <sz val="10"/>
            <color indexed="81"/>
            <rFont val="Tahoma"/>
            <family val="2"/>
          </rPr>
          <t>Owen Tolley:</t>
        </r>
        <r>
          <rPr>
            <sz val="10"/>
            <color indexed="81"/>
            <rFont val="Tahoma"/>
            <family val="2"/>
          </rPr>
          <t xml:space="preserve">
Assumed by analogy to the 1-bed and 3-bed.</t>
        </r>
      </text>
    </comment>
    <comment ref="O15" authorId="0" shapeId="0" xr:uid="{04BB6A2A-0AE4-4CDD-A9CC-C57B8E079599}">
      <text>
        <r>
          <rPr>
            <b/>
            <sz val="10"/>
            <color indexed="81"/>
            <rFont val="Tahoma"/>
            <family val="2"/>
          </rPr>
          <t>Owen Tolley:</t>
        </r>
        <r>
          <rPr>
            <sz val="10"/>
            <color indexed="81"/>
            <rFont val="Tahoma"/>
            <family val="2"/>
          </rPr>
          <t xml:space="preserve">
Target CPI</t>
        </r>
      </text>
    </comment>
    <comment ref="G16" authorId="0" shapeId="0" xr:uid="{6B71A812-7722-4AFF-968E-672E33749858}">
      <text>
        <r>
          <rPr>
            <b/>
            <sz val="10"/>
            <color indexed="81"/>
            <rFont val="Tahoma"/>
            <family val="2"/>
          </rPr>
          <t>Owen Tolley:</t>
        </r>
        <r>
          <rPr>
            <sz val="10"/>
            <color indexed="81"/>
            <rFont val="Tahoma"/>
            <family val="2"/>
          </rPr>
          <t xml:space="preserve">
The starting rent to market rent scalar decreases as the number of rooms in the apartment increases as there is likely to be less demand for 3-beds in premium BTR properties in an area like Reading given that units of this size will be competing with standard houses.
Furthermore, this decreased scalar of 1.05x brings it in line with the one historical listing I did see of a 3-bed in E&amp;F of £2,900 pcm.</t>
        </r>
      </text>
    </comment>
    <comment ref="O16" authorId="0" shapeId="0" xr:uid="{15DDEEC1-DB4D-43D6-900E-8F951B374B66}">
      <text>
        <r>
          <rPr>
            <b/>
            <sz val="10"/>
            <color indexed="81"/>
            <rFont val="Tahoma"/>
            <family val="2"/>
          </rPr>
          <t>Owen Tolley:</t>
        </r>
        <r>
          <rPr>
            <sz val="10"/>
            <color indexed="81"/>
            <rFont val="Tahoma"/>
            <family val="2"/>
          </rPr>
          <t xml:space="preserve">
Grainger plc, the UK's largest private rental homes provider, in their HY'26 report stated a +2% rental uplift on new lets.
Given that this figure is an average across their large BTR/multifamily rental portfolio, I have applied the same 2% as the loss-to-lease assumption.</t>
        </r>
      </text>
    </comment>
    <comment ref="O19" authorId="0" shapeId="0" xr:uid="{D3D8A011-5755-4D91-8164-7D4DA7915541}">
      <text>
        <r>
          <rPr>
            <b/>
            <sz val="10"/>
            <color indexed="81"/>
            <rFont val="Tahoma"/>
            <family val="2"/>
          </rPr>
          <t xml:space="preserve">Owen Tolley:
</t>
        </r>
        <r>
          <rPr>
            <sz val="10"/>
            <color indexed="81"/>
            <rFont val="Tahoma"/>
            <family val="2"/>
          </rPr>
          <t>https://corporate.graingerplc.co.uk/sites/graingerplc-corp/files/2026-05/HY26-announcement.pdf</t>
        </r>
        <r>
          <rPr>
            <b/>
            <sz val="10"/>
            <color indexed="81"/>
            <rFont val="Tahoma"/>
            <family val="2"/>
          </rPr>
          <t xml:space="preserve">
</t>
        </r>
        <r>
          <rPr>
            <sz val="10"/>
            <color indexed="81"/>
            <rFont val="Tahoma"/>
            <family val="2"/>
          </rPr>
          <t xml:space="preserve">
From Grainger plc's HY'26 report, they reported property operating expenses across their portfolio that were 25.98% and 27.11% of gross rental income as of March 31, 2026 and March 31, 2025 respectively (p. 26). My total operating expense assumption of 25% of rental income is benchmarked off of this as Grainger's portfolio consists of BTR/multifamily rental properties.
Initially, I was going to apply a 5% discount to the 25% as the asset is likely newer than the average age of the properties within Grainger's portfolio, however, Ebb &amp; Flow runs a premium service with tenant perks such as a free gym, exercise classes, social events, a co-working space etc. I therefore decided that the two effects would likely offset each other, so I chose to anchor to the sector benchmark.</t>
        </r>
      </text>
    </comment>
    <comment ref="L22" authorId="0" shapeId="0" xr:uid="{5EB062CA-5210-4948-8E84-7C5A166DB5B3}">
      <text>
        <r>
          <rPr>
            <b/>
            <sz val="10"/>
            <color indexed="81"/>
            <rFont val="Tahoma"/>
            <family val="2"/>
          </rPr>
          <t>Owen Tolley:</t>
        </r>
        <r>
          <rPr>
            <sz val="10"/>
            <color indexed="81"/>
            <rFont val="Tahoma"/>
            <family val="2"/>
          </rPr>
          <t xml:space="preserve">
Checks to see whether or not the summed % of EGR for the operating expenses matches the driving operating expense assumption.</t>
        </r>
      </text>
    </comment>
    <comment ref="E23" authorId="0" shapeId="0" xr:uid="{87569924-D812-4848-9114-771F1263161F}">
      <text>
        <r>
          <rPr>
            <b/>
            <sz val="10"/>
            <color indexed="81"/>
            <rFont val="Tahoma"/>
            <family val="2"/>
          </rPr>
          <t>Owen Tolley:</t>
        </r>
        <r>
          <rPr>
            <sz val="10"/>
            <color indexed="81"/>
            <rFont val="Tahoma"/>
            <family val="2"/>
          </rPr>
          <t xml:space="preserve">
The KF Prime Yield in July 2026 for institutional quality BTR properties in the South East was 4.50%, with the Zone 2 and Zone 3-4 London primes sitting at 4.15%-4.30% and 4.30%-4.50% respectively.
Despite the fact that Reading is situated outside the M25, I have modelled a 4.25% entry yield to capture the characteristics of the Ebb &amp; Flow apartment complex. The property itself firmly sits within the 'institutional-grade' property categorisation of the KF prime yield, with its top-class shared residential infrastructure, such as its gym and co-working space, and premium, modern units. However, E&amp;F also benefits from the fact that it is only a 2 minute walk away from Reading station, where you can access the Elizabeth Line and frequent trains to London Paddington that take less than 25 minutes.
E&amp;F is a part of the broader c.£850m Station Hill (Reading station) redevelopment scheme, which hosts grade-A offices with international corporations like PwC and PepsiCo as its tenants. Furthermore, the property is well placed to capitalise on Reading's status as a key employment hub, with:
- Green Park Industrial Estate, a tech/life-sciences hub home to companies like Virgin Media O2, Three and Bayer, only a ~7min train ride away.
- Shinfield Studios, a major film and television production complex.
- Thames Valley Park, with Oracle and Microsoft offices, a 10-15 minute drive away.
As per Centre for Cities, Reading is also ranked 4th in the UK for the number of active businesses per 10,000 people, and has the 3rd highest average weekly workplace earnings in the UK.
Therefore, instead of using the 4.50% yield for the South East, I benchmarked this asset closer to the Zone 3-4 combination prime yield range. This leads to my final assumption of </t>
        </r>
        <r>
          <rPr>
            <b/>
            <sz val="10"/>
            <color indexed="81"/>
            <rFont val="Tahoma"/>
            <family val="2"/>
          </rPr>
          <t>4.25%</t>
        </r>
        <r>
          <rPr>
            <sz val="10"/>
            <color indexed="81"/>
            <rFont val="Tahoma"/>
            <family val="2"/>
          </rPr>
          <t>, which aims to capture the combination of high wages and business density along with direct commuting access to central London.</t>
        </r>
      </text>
    </comment>
    <comment ref="H23" authorId="0" shapeId="0" xr:uid="{67B28CA4-8A21-48F4-9F12-DE8A5599C9EA}">
      <text>
        <r>
          <rPr>
            <b/>
            <sz val="10"/>
            <color indexed="81"/>
            <rFont val="Tahoma"/>
            <family val="2"/>
          </rPr>
          <t>Owen Tolley:</t>
        </r>
        <r>
          <rPr>
            <sz val="10"/>
            <color indexed="81"/>
            <rFont val="Tahoma"/>
            <family val="2"/>
          </rPr>
          <t xml:space="preserve">
Modelled a 50bps expansion from the entry yield as the asset will be another 10-years into its lifecycle. This was standard practice in the A.CRE course I completed.</t>
        </r>
      </text>
    </comment>
    <comment ref="E24" authorId="0" shapeId="0" xr:uid="{07A20167-BC4D-447A-93B9-DBA86673715B}">
      <text>
        <r>
          <rPr>
            <b/>
            <sz val="10"/>
            <color indexed="81"/>
            <rFont val="Tahoma"/>
            <family val="2"/>
          </rPr>
          <t>Owen Tolley:</t>
        </r>
        <r>
          <rPr>
            <sz val="10"/>
            <color indexed="81"/>
            <rFont val="Tahoma"/>
            <family val="2"/>
          </rPr>
          <t xml:space="preserve">
When a buyer is purchasing 6 or more dwellings, the stamp duty rules shift from residential to a non-residential/commercial transaction.
There are different tax brackets depending on how large the purchase price is:
- £0 to £150,000: 0%
- £150,001 to £250,000: 2%
- Above £250,001: 5%
This means the majority of the purchase price will be taxed at the 5% commercial rate, with the smaller brackets being insignificant for a property this scale.</t>
        </r>
      </text>
    </comment>
    <comment ref="H24" authorId="0" shapeId="0" xr:uid="{60A432D1-04E8-40D3-8FE5-0D10BF3A202B}">
      <text>
        <r>
          <rPr>
            <b/>
            <sz val="10"/>
            <color indexed="81"/>
            <rFont val="Tahoma"/>
            <family val="2"/>
          </rPr>
          <t>Owen Tolley:</t>
        </r>
        <r>
          <rPr>
            <sz val="10"/>
            <color indexed="81"/>
            <rFont val="Tahoma"/>
            <family val="2"/>
          </rPr>
          <t xml:space="preserve">
Hard to find a definitive source here , so had to use AI, which suggested a 1.5%-2.5% disposal fee. Supposedly based on the RICS Red Book.</t>
        </r>
      </text>
    </comment>
    <comment ref="E25" authorId="0" shapeId="0" xr:uid="{08783A7C-678B-453B-AC6C-739E8484CF36}">
      <text>
        <r>
          <rPr>
            <b/>
            <sz val="10"/>
            <color indexed="81"/>
            <rFont val="Tahoma"/>
            <family val="2"/>
          </rPr>
          <t>Owen Tolley:</t>
        </r>
        <r>
          <rPr>
            <sz val="10"/>
            <color indexed="81"/>
            <rFont val="Tahoma"/>
            <family val="2"/>
          </rPr>
          <t xml:space="preserve">
"Typically, a buyer’s fees are 6.5 – 7% of the purchase price (stamp duty land tax plus agency, legal and survey fees)."
https://www.withersworldwide.com/en-gb/insight/read/investing-in-uk-commercial-real-estate
Based off this source and after accounting for the SDLT I have listed separately, I have modelled an additional 2.5% of the purchase price as acquisition fees due to the scale of the acquisition (200m+).</t>
        </r>
      </text>
    </comment>
    <comment ref="I30" authorId="0" shapeId="0" xr:uid="{4CD2BC8E-DDEA-4857-A168-BDB89A297E71}">
      <text>
        <r>
          <rPr>
            <b/>
            <sz val="10"/>
            <color indexed="81"/>
            <rFont val="Tahoma"/>
            <family val="2"/>
          </rPr>
          <t>Owen Tolley:</t>
        </r>
        <r>
          <rPr>
            <sz val="10"/>
            <color indexed="81"/>
            <rFont val="Tahoma"/>
            <family val="2"/>
          </rPr>
          <t xml:space="preserve">
Business rates do not apply to areas exclusively used by residents. The below areas are used by the public, and therefore are subject to tax.</t>
        </r>
      </text>
    </comment>
    <comment ref="O36" authorId="0" shapeId="0" xr:uid="{9EB54DE4-580F-46C9-8F1F-CD9A176B128F}">
      <text>
        <r>
          <rPr>
            <b/>
            <sz val="10"/>
            <color indexed="81"/>
            <rFont val="Tahoma"/>
            <family val="2"/>
          </rPr>
          <t>Owen Tolley:</t>
        </r>
        <r>
          <rPr>
            <sz val="10"/>
            <color indexed="81"/>
            <rFont val="Tahoma"/>
            <family val="2"/>
          </rPr>
          <t xml:space="preserve">
I initially modelled higher expense growth to be more in line with current inflation and potential risks to increased inflation through 2026-2027, before tapering down to target CPI + a buffer.</t>
        </r>
      </text>
    </comment>
    <comment ref="G38" authorId="0" shapeId="0" xr:uid="{EFCB4781-39F3-4BEA-BA3C-8E9D9CBE4E06}">
      <text>
        <r>
          <rPr>
            <b/>
            <sz val="10"/>
            <color indexed="81"/>
            <rFont val="Tahoma"/>
            <family val="2"/>
          </rPr>
          <t>Owen Tolley:</t>
        </r>
        <r>
          <rPr>
            <sz val="10"/>
            <color indexed="81"/>
            <rFont val="Tahoma"/>
            <family val="2"/>
          </rPr>
          <t xml:space="preserve">
Locked on acquisition tab for the purpose of sensitivity analysis.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Owen Tolley</author>
  </authors>
  <commentList>
    <comment ref="D11" authorId="0" shapeId="0" xr:uid="{89690A12-AFE5-499D-BDEF-66EE8AE07AB9}">
      <text>
        <r>
          <rPr>
            <b/>
            <sz val="10"/>
            <color indexed="81"/>
            <rFont val="Tahoma"/>
            <family val="2"/>
          </rPr>
          <t>Owen Tolley:</t>
        </r>
        <r>
          <rPr>
            <sz val="10"/>
            <color indexed="81"/>
            <rFont val="Tahoma"/>
            <family val="2"/>
          </rPr>
          <t xml:space="preserve">
There is underground parking, but I cannot find details on how many parking spaces there are.
Given the developer's limited advertising around car parking, emphasis on the bike storage and a phase 3A of the Station Hill regeneration project being completely car free I have assumed a conservative 80 car parking spaces.</t>
        </r>
      </text>
    </comment>
    <comment ref="E11" authorId="0" shapeId="0" xr:uid="{F8BA6496-C7EC-45DF-B331-F91323608732}">
      <text>
        <r>
          <rPr>
            <b/>
            <sz val="10"/>
            <color indexed="81"/>
            <rFont val="Tahoma"/>
            <family val="2"/>
          </rPr>
          <t>Owen Tolley:</t>
        </r>
        <r>
          <rPr>
            <sz val="10"/>
            <color indexed="81"/>
            <rFont val="Tahoma"/>
            <family val="2"/>
          </rPr>
          <t xml:space="preserve">
Based on tenants comment's on a forum site. One reported a fee of £200 a month whilst another reported a fee of £250 a month.</t>
        </r>
      </text>
    </comment>
    <comment ref="F11" authorId="0" shapeId="0" xr:uid="{ADAB2C24-6BBC-4767-97BB-DE84F73D9D55}">
      <text>
        <r>
          <rPr>
            <b/>
            <sz val="10"/>
            <color indexed="81"/>
            <rFont val="Tahoma"/>
            <family val="2"/>
          </rPr>
          <t>Owen Tolley:</t>
        </r>
        <r>
          <rPr>
            <sz val="10"/>
            <color indexed="81"/>
            <rFont val="Tahoma"/>
            <family val="2"/>
          </rPr>
          <t xml:space="preserve">
Given the expensive parking and large choice of public transportation around the apartments, I assumed a moderate 60% take-up.</t>
        </r>
      </text>
    </comment>
    <comment ref="F20" authorId="0" shapeId="0" xr:uid="{A6F9B22C-353A-4C8B-B807-63D004DC1D97}">
      <text>
        <r>
          <rPr>
            <b/>
            <sz val="10"/>
            <color indexed="81"/>
            <rFont val="Tahoma"/>
            <family val="2"/>
          </rPr>
          <t>Owen Tolley:</t>
        </r>
        <r>
          <rPr>
            <sz val="10"/>
            <color indexed="81"/>
            <rFont val="Tahoma"/>
            <family val="2"/>
          </rPr>
          <t xml:space="preserve">
RI = Rental Income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Owen Tolley</author>
  </authors>
  <commentList>
    <comment ref="Q4" authorId="0" shapeId="0" xr:uid="{BAAC52A9-B7BF-409C-9698-D99F6A6A7F27}">
      <text>
        <r>
          <rPr>
            <b/>
            <sz val="10"/>
            <color indexed="81"/>
            <rFont val="Tahoma"/>
            <family val="2"/>
          </rPr>
          <t>Owen Tolley:</t>
        </r>
        <r>
          <rPr>
            <sz val="10"/>
            <color indexed="81"/>
            <rFont val="Tahoma"/>
            <family val="2"/>
          </rPr>
          <t xml:space="preserve">
Reversion Year</t>
        </r>
      </text>
    </comment>
    <comment ref="D13" authorId="0" shapeId="0" xr:uid="{010506AB-1A8E-4148-9FFD-0C8324307ACD}">
      <text>
        <r>
          <rPr>
            <b/>
            <sz val="10"/>
            <color indexed="81"/>
            <rFont val="Tahoma"/>
            <family val="2"/>
          </rPr>
          <t>Owen Tolley:</t>
        </r>
        <r>
          <rPr>
            <sz val="10"/>
            <color indexed="81"/>
            <rFont val="Tahoma"/>
            <family val="2"/>
          </rPr>
          <t xml:space="preserve">
There is underground parking, but I cannot find details on how many parking spaces there are.
Given the developer's limited advertising around car parking, emphasis on the bike storage and a phase 3A of the Station Hill regeneration project being completely car free I have assumed a conservative 80 car parking spaces.</t>
        </r>
      </text>
    </comment>
    <comment ref="E13" authorId="0" shapeId="0" xr:uid="{176C2063-FEFE-4921-9223-41FDA69729DE}">
      <text>
        <r>
          <rPr>
            <b/>
            <sz val="10"/>
            <color indexed="81"/>
            <rFont val="Tahoma"/>
            <family val="2"/>
          </rPr>
          <t>Owen Tolley:</t>
        </r>
        <r>
          <rPr>
            <sz val="10"/>
            <color indexed="81"/>
            <rFont val="Tahoma"/>
            <family val="2"/>
          </rPr>
          <t xml:space="preserve">
Based on tenants comment's on a forum site. One reported a fee of £200 a month whilst another reported a fee of £250 a month.</t>
        </r>
      </text>
    </comment>
    <comment ref="F13" authorId="0" shapeId="0" xr:uid="{0F651B45-7542-4F98-B84E-87636BA4CB20}">
      <text>
        <r>
          <rPr>
            <b/>
            <sz val="10"/>
            <color indexed="81"/>
            <rFont val="Tahoma"/>
            <family val="2"/>
          </rPr>
          <t>Owen Tolley:</t>
        </r>
        <r>
          <rPr>
            <sz val="10"/>
            <color indexed="81"/>
            <rFont val="Tahoma"/>
            <family val="2"/>
          </rPr>
          <t xml:space="preserve">
Given the expensive parking and large choice of public transportation around the apartments, I assumed a moderate 60% take-up.</t>
        </r>
      </text>
    </comment>
    <comment ref="E22" authorId="0" shapeId="0" xr:uid="{50061B10-E58D-413D-88DB-0C54443BFEA2}">
      <text>
        <r>
          <rPr>
            <b/>
            <sz val="10"/>
            <color indexed="81"/>
            <rFont val="Tahoma"/>
            <family val="2"/>
          </rPr>
          <t>Owen Tolley:</t>
        </r>
        <r>
          <rPr>
            <sz val="10"/>
            <color indexed="81"/>
            <rFont val="Tahoma"/>
            <family val="2"/>
          </rPr>
          <t xml:space="preserve">
RI = Rental Income</t>
        </r>
      </text>
    </comment>
  </commentList>
</comments>
</file>

<file path=xl/sharedStrings.xml><?xml version="1.0" encoding="utf-8"?>
<sst xmlns="http://schemas.openxmlformats.org/spreadsheetml/2006/main" count="282" uniqueCount="172">
  <si>
    <t>Investment Summary</t>
  </si>
  <si>
    <t>Location</t>
  </si>
  <si>
    <t>Physical Description</t>
  </si>
  <si>
    <t>Hardcoded Inputs</t>
  </si>
  <si>
    <t>Formulas</t>
  </si>
  <si>
    <t>Cross-Sheet Links</t>
  </si>
  <si>
    <t>Property Name</t>
  </si>
  <si>
    <t>Ebb &amp; Flow Apartments</t>
  </si>
  <si>
    <t>Address</t>
  </si>
  <si>
    <t>Postcode</t>
  </si>
  <si>
    <t>RG1 1HR</t>
  </si>
  <si>
    <t># of Units</t>
  </si>
  <si>
    <t>Avg. Size</t>
  </si>
  <si>
    <t>Studio</t>
  </si>
  <si>
    <t>1-beds</t>
  </si>
  <si>
    <t>2-beds</t>
  </si>
  <si>
    <t>3-beds</t>
  </si>
  <si>
    <t>Starting Rent</t>
  </si>
  <si>
    <t>Starting Rent to</t>
  </si>
  <si>
    <t>Mkt Rent Scalar</t>
  </si>
  <si>
    <t>Mkt Rent</t>
  </si>
  <si>
    <t>Gross Internal Area (GIA)</t>
  </si>
  <si>
    <t>Buildings</t>
  </si>
  <si>
    <t>Gross Leaseable Area (GLA)</t>
  </si>
  <si>
    <t>Efficiency</t>
  </si>
  <si>
    <t>Ebb Building</t>
  </si>
  <si>
    <t>Flow Building</t>
  </si>
  <si>
    <t>Total Units</t>
  </si>
  <si>
    <t>Avg. Unit Size</t>
  </si>
  <si>
    <t>Year Built</t>
  </si>
  <si>
    <t>County, Country</t>
  </si>
  <si>
    <t>3 Friars Walk, Reading</t>
  </si>
  <si>
    <t>Berkshire, United Kingdom</t>
  </si>
  <si>
    <t>The Ebb &amp; Flow Apartments is a stabilised premium BTR asset central to the ~£850m Station Hill redevelopment project, consisting of 598 units.</t>
  </si>
  <si>
    <t>Unit Mix and Rental Income Assumptions</t>
  </si>
  <si>
    <t>Clevedon - Owen Tolley - Ebb &amp; Flow Apartments Financial Model</t>
  </si>
  <si>
    <t>Market Rent /</t>
  </si>
  <si>
    <t>Unit (pcm)</t>
  </si>
  <si>
    <t>Annual Market</t>
  </si>
  <si>
    <t>Rent / Unit</t>
  </si>
  <si>
    <t>Mkt Rent / SF</t>
  </si>
  <si>
    <t>Beds/Baths</t>
  </si>
  <si>
    <t>Parking Income Growth</t>
  </si>
  <si>
    <t>ST Market Rent Growth</t>
  </si>
  <si>
    <t>LT Market Rent Growth</t>
  </si>
  <si>
    <t>Operating Expense Assumptions</t>
  </si>
  <si>
    <t>Acquisition Pro Forma</t>
  </si>
  <si>
    <t>Stabilised Income</t>
  </si>
  <si>
    <t>Loss-to-Lease</t>
  </si>
  <si>
    <t>REVENUE</t>
  </si>
  <si>
    <t>Rental Revenue</t>
  </si>
  <si>
    <t>Total Rental Revenue</t>
  </si>
  <si>
    <t>Notes.</t>
  </si>
  <si>
    <t>Pro Forma</t>
  </si>
  <si>
    <t>PSF</t>
  </si>
  <si>
    <t>Potential Base Rent (ERV)</t>
  </si>
  <si>
    <t>Other Income</t>
  </si>
  <si>
    <t>Parking Income</t>
  </si>
  <si>
    <t>Total Other Income</t>
  </si>
  <si>
    <t>Spaces</t>
  </si>
  <si>
    <t>Cost</t>
  </si>
  <si>
    <t>Take-up</t>
  </si>
  <si>
    <t>Car parking assumptions were done conservatively based on the fact E&amp;F benefits from great transport connections - with 598 units, there is one space for every 7.5 apartments.</t>
  </si>
  <si>
    <t>Effective Gross Revenue</t>
  </si>
  <si>
    <t>Gross Revenue</t>
  </si>
  <si>
    <t>General Vacancy</t>
  </si>
  <si>
    <t>Total Effective Gross Revenue</t>
  </si>
  <si>
    <t>Derived from unit mix and market rent calculations on the summary and assumptions tab</t>
  </si>
  <si>
    <t>OPERATING EXPENSES</t>
  </si>
  <si>
    <t>% of OpEx</t>
  </si>
  <si>
    <t>Management Fee</t>
  </si>
  <si>
    <t>Staffing Costs</t>
  </si>
  <si>
    <t>Repairs &amp; Maintenance</t>
  </si>
  <si>
    <t>Communal Utilities</t>
  </si>
  <si>
    <t>Marketing &amp; Leasing</t>
  </si>
  <si>
    <t>Insurance</t>
  </si>
  <si>
    <t>Other / Administrative</t>
  </si>
  <si>
    <t>Taxes</t>
  </si>
  <si>
    <t>Coffee Shop and Premises</t>
  </si>
  <si>
    <t>Showflat Complex</t>
  </si>
  <si>
    <t>Rateable Value</t>
  </si>
  <si>
    <t>26/27 UBR Multiplier</t>
  </si>
  <si>
    <t>Error Check</t>
  </si>
  <si>
    <t>Acquisition and Reversion Assumptions</t>
  </si>
  <si>
    <t>Total Operating Expenses (% of Gross Rental Income)</t>
  </si>
  <si>
    <t>NET OPERATING INCOME</t>
  </si>
  <si>
    <t>% of RI</t>
  </si>
  <si>
    <t>Total Operating Expenses</t>
  </si>
  <si>
    <t>Capital Expenditure Reserves</t>
  </si>
  <si>
    <t>Assumed a larger staff base due to on-demand support/repair team and exercise classes</t>
  </si>
  <si>
    <t>Assumed a standard 3.00% management fee</t>
  </si>
  <si>
    <t>Based off the rateable values and UBR multiplier, calculation seen in the summary tab</t>
  </si>
  <si>
    <t>Based on Grainger plc's new lets rental uplift, see comment on summary tab</t>
  </si>
  <si>
    <t>Large communal utilities space, e.g. bike storage, co-working space , gym etc.</t>
  </si>
  <si>
    <t>Out of lease-up phase, so represents standard rental portal/agent listings</t>
  </si>
  <si>
    <t>Assumed a larger other costs due to additional features E&amp;F has, such as the residents app</t>
  </si>
  <si>
    <t>Covers building insurance, public liability etc.</t>
  </si>
  <si>
    <t>4.0% vacancy is supported by the HY'26 report from large BTR provider Grainger plc, who had a 96.0% occupancy across their portfolio.</t>
  </si>
  <si>
    <t>~£480 of CapEx reserves per unit due to the premium communal infrastructure and stylish, modern design of the units that will need to be upheld</t>
  </si>
  <si>
    <t>Property Operating Expenses</t>
  </si>
  <si>
    <t>Acquisition Cost</t>
  </si>
  <si>
    <t>Purchase Price</t>
  </si>
  <si>
    <t>Analysis Start Date</t>
  </si>
  <si>
    <t>Analysis Period End</t>
  </si>
  <si>
    <t>Reversion Year End</t>
  </si>
  <si>
    <t>Entry Net Initial Yield (NIY)</t>
  </si>
  <si>
    <t>Exit Yield</t>
  </si>
  <si>
    <t>Entry NIY</t>
  </si>
  <si>
    <t>Stamp Duty Costs</t>
  </si>
  <si>
    <t>Other Acquisition Costs</t>
  </si>
  <si>
    <t>Total Acquisition Cost</t>
  </si>
  <si>
    <t>Operating Expense Growth Assumptions</t>
  </si>
  <si>
    <t>Start Year</t>
  </si>
  <si>
    <t>End Year</t>
  </si>
  <si>
    <t>Business Rates (Commercial Elements)</t>
  </si>
  <si>
    <t>Total Taxes / Business Rates</t>
  </si>
  <si>
    <t>Taxes / Business Rates</t>
  </si>
  <si>
    <t>Operating Cash Flow</t>
  </si>
  <si>
    <t>Year</t>
  </si>
  <si>
    <t>Month Ending</t>
  </si>
  <si>
    <t>Exp. Growth (%)</t>
  </si>
  <si>
    <t>N/A</t>
  </si>
  <si>
    <t>Mkt Rent Growth (%)</t>
  </si>
  <si>
    <t>Disposal Costs</t>
  </si>
  <si>
    <t>Other Acquisition Fees</t>
  </si>
  <si>
    <t>Stamp Duty Land Tax (SDLT)</t>
  </si>
  <si>
    <t>Unlevered Property Cash Flow</t>
  </si>
  <si>
    <t>Reversion</t>
  </si>
  <si>
    <t>Reversion Value</t>
  </si>
  <si>
    <t>Reversion Pro Forma</t>
  </si>
  <si>
    <t>Net from Reversion</t>
  </si>
  <si>
    <t>Year Ending =</t>
  </si>
  <si>
    <t>Reversion PF</t>
  </si>
  <si>
    <t>Valuation Summary</t>
  </si>
  <si>
    <t>Acquisition</t>
  </si>
  <si>
    <t>Net Operating Income</t>
  </si>
  <si>
    <t>Entry / Exit Yield</t>
  </si>
  <si>
    <t>Acquisition / Reversion Costs</t>
  </si>
  <si>
    <t>Total Acquisition Cost / Net from Reversion</t>
  </si>
  <si>
    <t>Gross Reversion Value</t>
  </si>
  <si>
    <t>Purchase Price / Gross Reversion Value</t>
  </si>
  <si>
    <t>Growth rates for market rent and opex are pulled from the summary / acquisitions tab using the INDEX/MATCH function</t>
  </si>
  <si>
    <t>Reversion Value = Year 11 NOI / Exit Yield</t>
  </si>
  <si>
    <t>Property-level Returns</t>
  </si>
  <si>
    <t>Unlevered Returns</t>
  </si>
  <si>
    <t>INVESTMENT CASH FLOWS</t>
  </si>
  <si>
    <t>OPERATING CASH FLOWS</t>
  </si>
  <si>
    <t>REVERSION CASH FLOWS</t>
  </si>
  <si>
    <t>UNLEVERED NET CASH FLOW</t>
  </si>
  <si>
    <t>Unlevered IRR</t>
  </si>
  <si>
    <t>Unlevered EMx</t>
  </si>
  <si>
    <t>Net Profit</t>
  </si>
  <si>
    <t>CapEx Reserve / Unit</t>
  </si>
  <si>
    <t>Cash-on-Cash Return</t>
  </si>
  <si>
    <t>Avg. Cash-on-Cash Return</t>
  </si>
  <si>
    <t>Hard coded to allow for sensitivity analysis, original formula was NOI / NIY</t>
  </si>
  <si>
    <t>Unlevered IRR Sensitivity - Operating Expense Ratio ↓ / Long-Term Market Rent Growth →</t>
  </si>
  <si>
    <t>Property-level Return Metrics and Sensitivity Analysis</t>
  </si>
  <si>
    <t>LT Rent Growth</t>
  </si>
  <si>
    <t>OpEx Ratio (% of GRI)</t>
  </si>
  <si>
    <t>Vacancy</t>
  </si>
  <si>
    <t>Bear</t>
  </si>
  <si>
    <t>Base</t>
  </si>
  <si>
    <t>Bull</t>
  </si>
  <si>
    <t>OpEx Growth (Tapered)</t>
  </si>
  <si>
    <t>4.0% → 3.0%</t>
  </si>
  <si>
    <t>3.5% → 2.5%</t>
  </si>
  <si>
    <t>3.0% → 2.0%</t>
  </si>
  <si>
    <t>NOI</t>
  </si>
  <si>
    <t>Cumulative UPCF</t>
  </si>
  <si>
    <t>NOI Trajectory and Cumulative Cash Flow</t>
  </si>
  <si>
    <t>Avg. Annual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</si>
</sst>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_(* \(#,##0\);_(* &quot;-&quot;_);_(@_)"/>
    <numFmt numFmtId="43" formatCode="_(* #,##0.00_);_(* \(#,##0.00\);_(* &quot;-&quot;??_);_(@_)"/>
    <numFmt numFmtId="164" formatCode="0\ &quot;SF&quot;"/>
    <numFmt numFmtId="165" formatCode="#,##0\ &quot;pcm&quot;"/>
    <numFmt numFmtId="166" formatCode="0.00&quot;x&quot;"/>
    <numFmt numFmtId="167" formatCode="0.0%"/>
    <numFmt numFmtId="168" formatCode="0\ &quot;units&quot;"/>
    <numFmt numFmtId="169" formatCode="#,##0\ &quot;p.a.&quot;"/>
    <numFmt numFmtId="170" formatCode="0.00\ &quot;SF&quot;"/>
    <numFmt numFmtId="171" formatCode="_(* #,##0_);_(* \(#,##0\);_(* &quot;-&quot;??_);_(@_)"/>
    <numFmt numFmtId="172" formatCode="0\ &quot;pcm&quot;"/>
    <numFmt numFmtId="173" formatCode="0\ &quot;spaces&quot;"/>
    <numFmt numFmtId="174" formatCode="d/mmm/yy;@"/>
    <numFmt numFmtId="175" formatCode="&quot;Year&quot;\ 0"/>
    <numFmt numFmtId="176" formatCode="mmm/yy;@"/>
    <numFmt numFmtId="177" formatCode="_(* #,##0.00&quot;m&quot;_);_(* \(#,##0.00&quot;m&quot;\);_(* &quot;-&quot;_);_(@_)"/>
    <numFmt numFmtId="178" formatCode="_(* #,##0.0_);_(* \(#,##0.0\);_(* &quot;-&quot;_);_(@_)"/>
  </numFmts>
  <fonts count="16" x14ac:knownFonts="1">
    <font>
      <sz val="11"/>
      <color theme="1"/>
      <name val="Calibri"/>
      <family val="2"/>
      <scheme val="minor"/>
    </font>
    <font>
      <sz val="11"/>
      <color theme="0"/>
      <name val="Tw Cen MT"/>
      <family val="2"/>
    </font>
    <font>
      <sz val="11"/>
      <color theme="1"/>
      <name val="Tw Cen MT"/>
      <family val="2"/>
    </font>
    <font>
      <sz val="11"/>
      <color rgb="FF0000FF"/>
      <name val="Tw Cen MT"/>
      <family val="2"/>
    </font>
    <font>
      <sz val="11"/>
      <color rgb="FF00B050"/>
      <name val="Tw Cen MT"/>
      <family val="2"/>
    </font>
    <font>
      <sz val="11"/>
      <color theme="1"/>
      <name val="Calibri"/>
      <family val="2"/>
      <scheme val="minor"/>
    </font>
    <font>
      <u/>
      <sz val="11"/>
      <color theme="1"/>
      <name val="Tw Cen MT"/>
      <family val="2"/>
    </font>
    <font>
      <u/>
      <sz val="11"/>
      <color rgb="FF0000FF"/>
      <name val="Tw Cen MT"/>
      <family val="2"/>
    </font>
    <font>
      <sz val="10"/>
      <color indexed="81"/>
      <name val="Tahoma"/>
      <family val="2"/>
    </font>
    <font>
      <b/>
      <sz val="10"/>
      <color indexed="81"/>
      <name val="Tahoma"/>
      <family val="2"/>
    </font>
    <font>
      <u val="singleAccounting"/>
      <sz val="11"/>
      <color theme="1"/>
      <name val="Tw Cen MT"/>
      <family val="2"/>
    </font>
    <font>
      <u val="singleAccounting"/>
      <sz val="11"/>
      <color rgb="FF00B050"/>
      <name val="Tw Cen MT"/>
      <family val="2"/>
    </font>
    <font>
      <sz val="9"/>
      <color theme="1"/>
      <name val="Tw Cen MT"/>
      <family val="2"/>
    </font>
    <font>
      <sz val="8"/>
      <color theme="1"/>
      <name val="Tw Cen MT"/>
      <family val="2"/>
    </font>
    <font>
      <i/>
      <sz val="9"/>
      <color theme="1"/>
      <name val="Tw Cen MT"/>
      <family val="2"/>
    </font>
    <font>
      <u/>
      <sz val="11"/>
      <color rgb="FF00B050"/>
      <name val="Tw Cen MT"/>
      <family val="2"/>
    </font>
  </fonts>
  <fills count="5">
    <fill>
      <patternFill patternType="none"/>
    </fill>
    <fill>
      <patternFill patternType="gray125"/>
    </fill>
    <fill>
      <patternFill patternType="solid">
        <fgColor rgb="FFFF6633"/>
        <bgColor indexed="64"/>
      </patternFill>
    </fill>
    <fill>
      <patternFill patternType="solid">
        <fgColor theme="5" tint="0.79998168889431442"/>
        <bgColor indexed="64"/>
      </patternFill>
    </fill>
    <fill>
      <patternFill patternType="solid">
        <fgColor theme="0" tint="-4.9989318521683403E-2"/>
        <bgColor indexed="64"/>
      </patternFill>
    </fill>
  </fills>
  <borders count="9">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9" fontId="5" fillId="0" borderId="0" applyFont="0" applyFill="0" applyBorder="0" applyAlignment="0" applyProtection="0"/>
  </cellStyleXfs>
  <cellXfs count="123">
    <xf numFmtId="0" fontId="0" fillId="0" borderId="0" xfId="0"/>
    <xf numFmtId="0" fontId="1" fillId="2" borderId="0" xfId="0" applyFont="1" applyFill="1"/>
    <xf numFmtId="0" fontId="2" fillId="2" borderId="0" xfId="0" applyFont="1" applyFill="1"/>
    <xf numFmtId="0" fontId="2" fillId="0" borderId="0" xfId="0" applyFont="1"/>
    <xf numFmtId="0" fontId="2" fillId="3" borderId="0" xfId="0" applyFont="1" applyFill="1"/>
    <xf numFmtId="0" fontId="3" fillId="0" borderId="0" xfId="0" applyFont="1"/>
    <xf numFmtId="0" fontId="4" fillId="0" borderId="0" xfId="0" applyFont="1"/>
    <xf numFmtId="0" fontId="3" fillId="0" borderId="0" xfId="0" applyFont="1" applyAlignment="1">
      <alignment horizontal="right"/>
    </xf>
    <xf numFmtId="0" fontId="2" fillId="0" borderId="0" xfId="0" applyFont="1" applyAlignment="1">
      <alignment horizontal="right"/>
    </xf>
    <xf numFmtId="0" fontId="6" fillId="0" borderId="0" xfId="0" applyFont="1" applyAlignment="1">
      <alignment horizontal="right"/>
    </xf>
    <xf numFmtId="0" fontId="7" fillId="0" borderId="0" xfId="0" applyFont="1" applyAlignment="1">
      <alignment horizontal="right"/>
    </xf>
    <xf numFmtId="164" fontId="2" fillId="0" borderId="0" xfId="0" applyNumberFormat="1" applyFont="1"/>
    <xf numFmtId="165" fontId="2" fillId="0" borderId="0" xfId="0" applyNumberFormat="1" applyFont="1"/>
    <xf numFmtId="164" fontId="3" fillId="0" borderId="0" xfId="0" applyNumberFormat="1" applyFont="1"/>
    <xf numFmtId="165" fontId="3" fillId="0" borderId="0" xfId="0" applyNumberFormat="1" applyFont="1" applyAlignment="1">
      <alignment horizontal="right"/>
    </xf>
    <xf numFmtId="164" fontId="7" fillId="0" borderId="0" xfId="0" applyNumberFormat="1" applyFont="1"/>
    <xf numFmtId="166" fontId="3" fillId="0" borderId="0" xfId="0" applyNumberFormat="1" applyFont="1" applyAlignment="1">
      <alignment horizontal="right"/>
    </xf>
    <xf numFmtId="41" fontId="2" fillId="0" borderId="0" xfId="0" applyNumberFormat="1" applyFont="1"/>
    <xf numFmtId="41" fontId="3" fillId="0" borderId="0" xfId="0" applyNumberFormat="1" applyFont="1"/>
    <xf numFmtId="41" fontId="10" fillId="0" borderId="0" xfId="0" applyNumberFormat="1" applyFont="1"/>
    <xf numFmtId="0" fontId="2" fillId="0" borderId="1" xfId="0" applyFont="1" applyBorder="1" applyAlignment="1">
      <alignment horizontal="right"/>
    </xf>
    <xf numFmtId="0" fontId="2" fillId="0" borderId="3" xfId="0" applyFont="1" applyBorder="1"/>
    <xf numFmtId="0" fontId="2" fillId="0" borderId="2" xfId="0" applyFont="1" applyBorder="1" applyAlignment="1">
      <alignment horizontal="left"/>
    </xf>
    <xf numFmtId="0" fontId="2" fillId="3" borderId="0" xfId="0" applyFont="1" applyFill="1" applyAlignment="1">
      <alignment horizontal="left" indent="1"/>
    </xf>
    <xf numFmtId="0" fontId="2" fillId="0" borderId="0" xfId="0" applyFont="1" applyAlignment="1">
      <alignment horizontal="left" indent="1"/>
    </xf>
    <xf numFmtId="10" fontId="2" fillId="0" borderId="0" xfId="1" applyNumberFormat="1" applyFont="1"/>
    <xf numFmtId="0" fontId="2" fillId="0" borderId="0" xfId="0" applyFont="1" applyAlignment="1">
      <alignment horizontal="left" indent="2"/>
    </xf>
    <xf numFmtId="168" fontId="2" fillId="0" borderId="0" xfId="0" applyNumberFormat="1" applyFont="1"/>
    <xf numFmtId="168" fontId="3" fillId="0" borderId="0" xfId="0" applyNumberFormat="1" applyFont="1"/>
    <xf numFmtId="1" fontId="3" fillId="0" borderId="0" xfId="0" applyNumberFormat="1" applyFont="1"/>
    <xf numFmtId="0" fontId="1" fillId="2" borderId="0" xfId="0" applyFont="1" applyFill="1" applyAlignment="1">
      <alignment horizontal="right"/>
    </xf>
    <xf numFmtId="43" fontId="2" fillId="0" borderId="0" xfId="0" applyNumberFormat="1" applyFont="1"/>
    <xf numFmtId="169" fontId="2" fillId="0" borderId="0" xfId="0" applyNumberFormat="1" applyFont="1"/>
    <xf numFmtId="170" fontId="2" fillId="0" borderId="0" xfId="0" applyNumberFormat="1" applyFont="1"/>
    <xf numFmtId="10" fontId="3" fillId="0" borderId="0" xfId="1" applyNumberFormat="1" applyFont="1" applyBorder="1"/>
    <xf numFmtId="0" fontId="2" fillId="0" borderId="2" xfId="0" applyFont="1" applyBorder="1" applyAlignment="1">
      <alignment horizontal="right" indent="1"/>
    </xf>
    <xf numFmtId="0" fontId="2" fillId="3" borderId="0" xfId="0" applyFont="1" applyFill="1" applyAlignment="1">
      <alignment horizontal="right"/>
    </xf>
    <xf numFmtId="41" fontId="4" fillId="0" borderId="0" xfId="0" applyNumberFormat="1" applyFont="1"/>
    <xf numFmtId="43" fontId="10" fillId="0" borderId="0" xfId="0" applyNumberFormat="1" applyFont="1"/>
    <xf numFmtId="41" fontId="11" fillId="0" borderId="0" xfId="0" applyNumberFormat="1" applyFont="1"/>
    <xf numFmtId="171" fontId="2" fillId="0" borderId="0" xfId="0" applyNumberFormat="1" applyFont="1"/>
    <xf numFmtId="9" fontId="3" fillId="0" borderId="0" xfId="1" applyFont="1"/>
    <xf numFmtId="172" fontId="3" fillId="0" borderId="0" xfId="0" applyNumberFormat="1" applyFont="1"/>
    <xf numFmtId="173" fontId="3" fillId="0" borderId="0" xfId="0" applyNumberFormat="1" applyFont="1"/>
    <xf numFmtId="10" fontId="2" fillId="0" borderId="0" xfId="0" applyNumberFormat="1" applyFont="1"/>
    <xf numFmtId="10" fontId="3" fillId="0" borderId="0" xfId="0" applyNumberFormat="1" applyFont="1"/>
    <xf numFmtId="10" fontId="4" fillId="0" borderId="0" xfId="0" applyNumberFormat="1" applyFont="1"/>
    <xf numFmtId="0" fontId="2" fillId="0" borderId="0" xfId="0" applyFont="1" applyAlignment="1">
      <alignment horizontal="right" indent="1"/>
    </xf>
    <xf numFmtId="41" fontId="3" fillId="0" borderId="0" xfId="0" applyNumberFormat="1" applyFont="1" applyAlignment="1">
      <alignment horizontal="right"/>
    </xf>
    <xf numFmtId="167" fontId="3" fillId="0" borderId="0" xfId="0" applyNumberFormat="1" applyFont="1"/>
    <xf numFmtId="3" fontId="3" fillId="0" borderId="0" xfId="0" applyNumberFormat="1" applyFont="1" applyAlignment="1">
      <alignment horizontal="right"/>
    </xf>
    <xf numFmtId="3" fontId="2" fillId="0" borderId="0" xfId="0" applyNumberFormat="1" applyFont="1" applyAlignment="1">
      <alignment horizontal="right"/>
    </xf>
    <xf numFmtId="3" fontId="10" fillId="0" borderId="0" xfId="0" applyNumberFormat="1" applyFont="1" applyAlignment="1">
      <alignment horizontal="right"/>
    </xf>
    <xf numFmtId="10" fontId="2" fillId="0" borderId="0" xfId="0" applyNumberFormat="1" applyFont="1" applyAlignment="1">
      <alignment horizontal="right"/>
    </xf>
    <xf numFmtId="10" fontId="6" fillId="0" borderId="0" xfId="0" applyNumberFormat="1" applyFont="1" applyAlignment="1">
      <alignment horizontal="right"/>
    </xf>
    <xf numFmtId="0" fontId="14" fillId="0" borderId="0" xfId="0" applyFont="1" applyAlignment="1">
      <alignment horizontal="center"/>
    </xf>
    <xf numFmtId="10" fontId="3" fillId="0" borderId="0" xfId="1" applyNumberFormat="1" applyFont="1" applyAlignment="1"/>
    <xf numFmtId="10" fontId="7" fillId="0" borderId="0" xfId="1" applyNumberFormat="1" applyFont="1" applyAlignment="1"/>
    <xf numFmtId="0" fontId="12" fillId="0" borderId="0" xfId="0" applyFont="1" applyAlignment="1">
      <alignment horizontal="left" vertical="center" indent="1"/>
    </xf>
    <xf numFmtId="0" fontId="2" fillId="0" borderId="0" xfId="0" applyFont="1" applyAlignment="1">
      <alignment horizontal="left" vertical="center" indent="1"/>
    </xf>
    <xf numFmtId="0" fontId="13" fillId="0" borderId="0" xfId="0" applyFont="1" applyAlignment="1">
      <alignment horizontal="left" vertical="center" wrapText="1" indent="1"/>
    </xf>
    <xf numFmtId="174" fontId="3" fillId="0" borderId="0" xfId="0" applyNumberFormat="1" applyFont="1"/>
    <xf numFmtId="175" fontId="2" fillId="0" borderId="0" xfId="0" applyNumberFormat="1" applyFont="1"/>
    <xf numFmtId="175" fontId="3" fillId="0" borderId="0" xfId="0" applyNumberFormat="1" applyFont="1"/>
    <xf numFmtId="10" fontId="3" fillId="0" borderId="0" xfId="1" applyNumberFormat="1" applyFont="1"/>
    <xf numFmtId="176" fontId="2" fillId="0" borderId="0" xfId="0" applyNumberFormat="1" applyFont="1"/>
    <xf numFmtId="0" fontId="2" fillId="0" borderId="0" xfId="0" applyFont="1" applyAlignment="1">
      <alignment horizontal="right" indent="2"/>
    </xf>
    <xf numFmtId="41" fontId="2" fillId="0" borderId="0" xfId="0" applyNumberFormat="1" applyFont="1" applyAlignment="1">
      <alignment horizontal="right"/>
    </xf>
    <xf numFmtId="10" fontId="2" fillId="0" borderId="0" xfId="1" applyNumberFormat="1" applyFont="1" applyAlignment="1">
      <alignment horizontal="right"/>
    </xf>
    <xf numFmtId="10" fontId="4" fillId="0" borderId="0" xfId="1" applyNumberFormat="1" applyFont="1" applyAlignment="1">
      <alignment horizontal="right"/>
    </xf>
    <xf numFmtId="0" fontId="2" fillId="4" borderId="0" xfId="0" applyFont="1" applyFill="1"/>
    <xf numFmtId="41" fontId="2" fillId="4" borderId="0" xfId="0" applyNumberFormat="1" applyFont="1" applyFill="1"/>
    <xf numFmtId="43" fontId="2" fillId="4" borderId="0" xfId="0" applyNumberFormat="1" applyFont="1" applyFill="1"/>
    <xf numFmtId="175" fontId="3" fillId="0" borderId="0" xfId="0" applyNumberFormat="1" applyFont="1" applyAlignment="1">
      <alignment horizontal="right" indent="2"/>
    </xf>
    <xf numFmtId="10" fontId="3" fillId="0" borderId="4" xfId="1" applyNumberFormat="1" applyFont="1" applyBorder="1"/>
    <xf numFmtId="0" fontId="2" fillId="0" borderId="0" xfId="0" applyFont="1" applyAlignment="1">
      <alignment horizontal="left"/>
    </xf>
    <xf numFmtId="176" fontId="2" fillId="3" borderId="0" xfId="0" applyNumberFormat="1" applyFont="1" applyFill="1"/>
    <xf numFmtId="175" fontId="2" fillId="3" borderId="0" xfId="0" applyNumberFormat="1" applyFont="1" applyFill="1" applyAlignment="1">
      <alignment horizontal="right"/>
    </xf>
    <xf numFmtId="0" fontId="2" fillId="0" borderId="1" xfId="0" applyFont="1" applyBorder="1"/>
    <xf numFmtId="0" fontId="2" fillId="0" borderId="5" xfId="0" applyFont="1" applyBorder="1"/>
    <xf numFmtId="0" fontId="2" fillId="0" borderId="6" xfId="0" applyFont="1" applyBorder="1"/>
    <xf numFmtId="10" fontId="3" fillId="0" borderId="6" xfId="1" applyNumberFormat="1" applyFont="1" applyBorder="1"/>
    <xf numFmtId="0" fontId="2" fillId="0" borderId="6" xfId="0" applyFont="1" applyBorder="1" applyAlignment="1">
      <alignment horizontal="left" indent="1"/>
    </xf>
    <xf numFmtId="0" fontId="2" fillId="0" borderId="4" xfId="0" applyFont="1" applyBorder="1" applyAlignment="1">
      <alignment horizontal="left" indent="1"/>
    </xf>
    <xf numFmtId="10" fontId="3" fillId="0" borderId="2" xfId="1" applyNumberFormat="1" applyFont="1" applyBorder="1"/>
    <xf numFmtId="0" fontId="2" fillId="0" borderId="8" xfId="0" applyFont="1" applyBorder="1" applyAlignment="1">
      <alignment horizontal="left" indent="1"/>
    </xf>
    <xf numFmtId="10" fontId="3" fillId="0" borderId="1" xfId="1" applyNumberFormat="1" applyFont="1" applyBorder="1"/>
    <xf numFmtId="41" fontId="15" fillId="0" borderId="0" xfId="0" applyNumberFormat="1" applyFont="1"/>
    <xf numFmtId="0" fontId="12" fillId="0" borderId="0" xfId="0" applyFont="1" applyAlignment="1">
      <alignment horizontal="left" indent="1"/>
    </xf>
    <xf numFmtId="0" fontId="12" fillId="0" borderId="0" xfId="0" applyFont="1" applyAlignment="1">
      <alignment wrapText="1"/>
    </xf>
    <xf numFmtId="41" fontId="2" fillId="0" borderId="0" xfId="0" applyNumberFormat="1" applyFont="1" applyAlignment="1">
      <alignment horizontal="left" indent="1"/>
    </xf>
    <xf numFmtId="0" fontId="12" fillId="0" borderId="0" xfId="0" applyFont="1" applyAlignment="1">
      <alignment horizontal="right"/>
    </xf>
    <xf numFmtId="0" fontId="14" fillId="0" borderId="0" xfId="0" applyFont="1" applyAlignment="1">
      <alignment horizontal="right"/>
    </xf>
    <xf numFmtId="41" fontId="14" fillId="0" borderId="0" xfId="0" applyNumberFormat="1" applyFont="1"/>
    <xf numFmtId="10" fontId="14" fillId="0" borderId="0" xfId="1" applyNumberFormat="1" applyFont="1"/>
    <xf numFmtId="177" fontId="2" fillId="0" borderId="0" xfId="0" applyNumberFormat="1" applyFont="1"/>
    <xf numFmtId="10" fontId="2" fillId="4" borderId="0" xfId="0" applyNumberFormat="1" applyFont="1" applyFill="1" applyAlignment="1">
      <alignment horizontal="center"/>
    </xf>
    <xf numFmtId="166" fontId="2" fillId="4" borderId="0" xfId="0" applyNumberFormat="1" applyFont="1" applyFill="1" applyAlignment="1">
      <alignment horizontal="center"/>
    </xf>
    <xf numFmtId="10" fontId="2" fillId="4" borderId="0" xfId="1" applyNumberFormat="1" applyFont="1" applyFill="1" applyAlignment="1">
      <alignment horizontal="center"/>
    </xf>
    <xf numFmtId="10" fontId="2" fillId="4" borderId="0" xfId="0" applyNumberFormat="1" applyFont="1" applyFill="1" applyAlignment="1">
      <alignment horizontal="right"/>
    </xf>
    <xf numFmtId="166" fontId="2" fillId="4" borderId="0" xfId="0" applyNumberFormat="1" applyFont="1" applyFill="1" applyAlignment="1">
      <alignment horizontal="right"/>
    </xf>
    <xf numFmtId="41" fontId="2" fillId="4" borderId="0" xfId="0" applyNumberFormat="1" applyFont="1" applyFill="1" applyAlignment="1">
      <alignment horizontal="right"/>
    </xf>
    <xf numFmtId="10" fontId="3" fillId="0" borderId="7" xfId="0" applyNumberFormat="1" applyFont="1" applyBorder="1"/>
    <xf numFmtId="9" fontId="3" fillId="0" borderId="0" xfId="0" applyNumberFormat="1" applyFont="1" applyAlignment="1">
      <alignment horizontal="right"/>
    </xf>
    <xf numFmtId="166" fontId="3" fillId="0" borderId="0" xfId="0" applyNumberFormat="1" applyFont="1"/>
    <xf numFmtId="0" fontId="2" fillId="0" borderId="2" xfId="0" applyFont="1" applyBorder="1"/>
    <xf numFmtId="0" fontId="1" fillId="0" borderId="0" xfId="0" applyFont="1"/>
    <xf numFmtId="41" fontId="1" fillId="0" borderId="0" xfId="0" applyNumberFormat="1" applyFont="1"/>
    <xf numFmtId="0" fontId="2" fillId="0" borderId="0" xfId="0" applyFont="1" applyAlignment="1">
      <alignment horizontal="left" wrapText="1"/>
    </xf>
    <xf numFmtId="43" fontId="12" fillId="0" borderId="0" xfId="0" applyNumberFormat="1" applyFont="1" applyAlignment="1">
      <alignment horizontal="left" vertical="center" wrapText="1" indent="1"/>
    </xf>
    <xf numFmtId="0" fontId="12" fillId="0" borderId="0" xfId="0" applyFont="1" applyAlignment="1">
      <alignment horizontal="left" vertical="center" wrapText="1" indent="1"/>
    </xf>
    <xf numFmtId="178" fontId="2" fillId="0" borderId="0" xfId="0" applyNumberFormat="1" applyFont="1"/>
    <xf numFmtId="0" fontId="2" fillId="0" borderId="0" xfId="0" applyFont="1" applyFill="1" applyAlignment="1">
      <alignment horizontal="left" indent="1"/>
    </xf>
    <xf numFmtId="0" fontId="2" fillId="0" borderId="0" xfId="0" applyFont="1" applyFill="1" applyAlignment="1">
      <alignment horizontal="left"/>
    </xf>
    <xf numFmtId="0" fontId="2" fillId="0" borderId="0" xfId="0" applyFont="1" applyFill="1" applyAlignment="1">
      <alignment horizontal="right" indent="1"/>
    </xf>
    <xf numFmtId="10" fontId="2" fillId="0" borderId="0" xfId="0" applyNumberFormat="1" applyFont="1" applyFill="1"/>
    <xf numFmtId="10" fontId="2" fillId="0" borderId="0" xfId="0" applyNumberFormat="1" applyFont="1" applyFill="1" applyAlignment="1">
      <alignment horizontal="right"/>
    </xf>
    <xf numFmtId="0" fontId="2" fillId="0" borderId="0" xfId="0" applyFont="1" applyFill="1"/>
    <xf numFmtId="10" fontId="1" fillId="0" borderId="3" xfId="0" applyNumberFormat="1" applyFont="1" applyFill="1" applyBorder="1"/>
    <xf numFmtId="167" fontId="2" fillId="0" borderId="1" xfId="0" applyNumberFormat="1" applyFont="1" applyFill="1" applyBorder="1"/>
    <xf numFmtId="167" fontId="3" fillId="0" borderId="1" xfId="0" applyNumberFormat="1" applyFont="1" applyFill="1" applyBorder="1"/>
    <xf numFmtId="167" fontId="2" fillId="0" borderId="2" xfId="0" applyNumberFormat="1" applyFont="1" applyFill="1" applyBorder="1"/>
    <xf numFmtId="167" fontId="3" fillId="0" borderId="2" xfId="0" applyNumberFormat="1" applyFont="1" applyFill="1" applyBorder="1"/>
  </cellXfs>
  <cellStyles count="2">
    <cellStyle name="Normal" xfId="0" builtinId="0"/>
    <cellStyle name="Percent" xfId="1" builtinId="5"/>
  </cellStyles>
  <dxfs count="2">
    <dxf>
      <font>
        <color rgb="FF00B050"/>
      </font>
    </dxf>
    <dxf>
      <font>
        <color rgb="FFFF0000"/>
      </font>
    </dxf>
  </dxfs>
  <tableStyles count="0" defaultTableStyle="TableStyleMedium2" defaultPivotStyle="PivotStyleLight16"/>
  <colors>
    <mruColors>
      <color rgb="FF0000FF"/>
      <color rgb="FFFF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Net Operating Income Trajectory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 and Assumptions'!$B$56</c:f>
              <c:strCache>
                <c:ptCount val="1"/>
                <c:pt idx="0">
                  <c:v>NOI</c:v>
                </c:pt>
              </c:strCache>
            </c:strRef>
          </c:tx>
          <c:spPr>
            <a:solidFill>
              <a:srgbClr val="FF6633"/>
            </a:solidFill>
            <a:ln>
              <a:noFill/>
            </a:ln>
            <a:effectLst/>
          </c:spPr>
          <c:invertIfNegative val="0"/>
          <c:dPt>
            <c:idx val="10"/>
            <c:invertIfNegative val="0"/>
            <c:bubble3D val="0"/>
            <c:spPr>
              <a:solidFill>
                <a:schemeClr val="bg1">
                  <a:lumMod val="85000"/>
                </a:schemeClr>
              </a:solidFill>
              <a:ln>
                <a:noFill/>
              </a:ln>
              <a:effectLst/>
            </c:spPr>
            <c:extLst>
              <c:ext xmlns:c16="http://schemas.microsoft.com/office/drawing/2014/chart" uri="{C3380CC4-5D6E-409C-BE32-E72D297353CC}">
                <c16:uniqueId val="{00000002-F47F-4A7D-B250-227E1EB661A0}"/>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'Summary and Assumptions'!$C$55:$M$55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'Summary and Assumptions'!$C$56:$M$56</c:f>
              <c:numCache>
                <c:formatCode>_(* #,##0_);_(* \(#,##0\);_(* "-"_);_(@_)</c:formatCode>
                <c:ptCount val="11"/>
                <c:pt idx="0">
                  <c:v>10322128.452</c:v>
                </c:pt>
                <c:pt idx="1">
                  <c:v>10715051.027610002</c:v>
                </c:pt>
                <c:pt idx="2">
                  <c:v>11122945.355558481</c:v>
                </c:pt>
                <c:pt idx="3">
                  <c:v>11455339.292161234</c:v>
                </c:pt>
                <c:pt idx="4">
                  <c:v>11797679.158380792</c:v>
                </c:pt>
                <c:pt idx="5">
                  <c:v>12168491.762351418</c:v>
                </c:pt>
                <c:pt idx="6">
                  <c:v>12550857.533765625</c:v>
                </c:pt>
                <c:pt idx="7">
                  <c:v>12945133.922051709</c:v>
                </c:pt>
                <c:pt idx="8">
                  <c:v>13351689.374174384</c:v>
                </c:pt>
                <c:pt idx="9">
                  <c:v>13770903.671466069</c:v>
                </c:pt>
                <c:pt idx="10">
                  <c:v>14203168.276736837</c:v>
                </c:pt>
              </c:numCache>
            </c:numRef>
          </c:val>
          <c:extLst>
            <c:ext xmlns:c16="http://schemas.microsoft.com/office/drawing/2014/chart" uri="{C3380CC4-5D6E-409C-BE32-E72D297353CC}">
              <c16:uniqueId val="{00000000-F47F-4A7D-B250-227E1EB661A0}"/>
            </c:ext>
          </c:extLst>
        </c:ser>
        <c:dLbls>
          <c:showLegendKey val="0"/>
          <c:showVal val="0"/>
          <c:showCatName val="0"/>
          <c:showSerName val="0"/>
          <c:showPercent val="0"/>
          <c:showBubbleSize val="0"/>
        </c:dLbls>
        <c:gapWidth val="219"/>
        <c:overlap val="-27"/>
        <c:axId val="1108676784"/>
        <c:axId val="1657640720"/>
      </c:barChart>
      <c:catAx>
        <c:axId val="11086767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Hold</a:t>
                </a:r>
                <a:r>
                  <a:rPr lang="en-GB" baseline="0"/>
                  <a:t> Period Year</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quot;Y&quot;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7640720"/>
        <c:crosses val="autoZero"/>
        <c:auto val="1"/>
        <c:lblAlgn val="ctr"/>
        <c:lblOffset val="100"/>
        <c:noMultiLvlLbl val="0"/>
      </c:catAx>
      <c:valAx>
        <c:axId val="1657640720"/>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NOI (£m)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867678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Cumulative Unlevered Cash Flow</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'Summary and Assumptions'!$C$65</c:f>
              <c:strCache>
                <c:ptCount val="1"/>
                <c:pt idx="0">
                  <c:v>Cumulative UPCF</c:v>
                </c:pt>
              </c:strCache>
            </c:strRef>
          </c:tx>
          <c:spPr>
            <a:solidFill>
              <a:srgbClr val="FF6633"/>
            </a:solidFill>
            <a:ln>
              <a:noFill/>
            </a:ln>
            <a:effectLst/>
          </c:spPr>
          <c:dPt>
            <c:idx val="0"/>
            <c:bubble3D val="0"/>
            <c:spPr>
              <a:solidFill>
                <a:srgbClr val="FF6633"/>
              </a:solidFill>
              <a:ln>
                <a:noFill/>
              </a:ln>
              <a:effectLst/>
            </c:spPr>
            <c:extLst>
              <c:ext xmlns:c16="http://schemas.microsoft.com/office/drawing/2014/chart" uri="{C3380CC4-5D6E-409C-BE32-E72D297353CC}">
                <c16:uniqueId val="{00000003-6548-41B3-9C29-FB2224B4D2D1}"/>
              </c:ext>
            </c:extLst>
          </c:dPt>
          <c:dLbls>
            <c:dLbl>
              <c:idx val="0"/>
              <c:delete val="1"/>
              <c:extLst>
                <c:ext xmlns:c15="http://schemas.microsoft.com/office/drawing/2012/chart" uri="{CE6537A1-D6FC-4f65-9D91-7224C49458BB}"/>
                <c:ext xmlns:c16="http://schemas.microsoft.com/office/drawing/2014/chart" uri="{C3380CC4-5D6E-409C-BE32-E72D297353CC}">
                  <c16:uniqueId val="{00000003-6548-41B3-9C29-FB2224B4D2D1}"/>
                </c:ext>
              </c:extLst>
            </c:dLbl>
            <c:dLbl>
              <c:idx val="1"/>
              <c:delete val="1"/>
              <c:extLst>
                <c:ext xmlns:c15="http://schemas.microsoft.com/office/drawing/2012/chart" uri="{CE6537A1-D6FC-4f65-9D91-7224C49458BB}"/>
                <c:ext xmlns:c16="http://schemas.microsoft.com/office/drawing/2014/chart" uri="{C3380CC4-5D6E-409C-BE32-E72D297353CC}">
                  <c16:uniqueId val="{0000000D-6548-41B3-9C29-FB2224B4D2D1}"/>
                </c:ext>
              </c:extLst>
            </c:dLbl>
            <c:dLbl>
              <c:idx val="2"/>
              <c:delete val="1"/>
              <c:extLst>
                <c:ext xmlns:c15="http://schemas.microsoft.com/office/drawing/2012/chart" uri="{CE6537A1-D6FC-4f65-9D91-7224C49458BB}"/>
                <c:ext xmlns:c16="http://schemas.microsoft.com/office/drawing/2014/chart" uri="{C3380CC4-5D6E-409C-BE32-E72D297353CC}">
                  <c16:uniqueId val="{0000000C-6548-41B3-9C29-FB2224B4D2D1}"/>
                </c:ext>
              </c:extLst>
            </c:dLbl>
            <c:dLbl>
              <c:idx val="3"/>
              <c:delete val="1"/>
              <c:extLst>
                <c:ext xmlns:c15="http://schemas.microsoft.com/office/drawing/2012/chart" uri="{CE6537A1-D6FC-4f65-9D91-7224C49458BB}"/>
                <c:ext xmlns:c16="http://schemas.microsoft.com/office/drawing/2014/chart" uri="{C3380CC4-5D6E-409C-BE32-E72D297353CC}">
                  <c16:uniqueId val="{00000002-6548-41B3-9C29-FB2224B4D2D1}"/>
                </c:ext>
              </c:extLst>
            </c:dLbl>
            <c:dLbl>
              <c:idx val="4"/>
              <c:delete val="1"/>
              <c:extLst>
                <c:ext xmlns:c15="http://schemas.microsoft.com/office/drawing/2012/chart" uri="{CE6537A1-D6FC-4f65-9D91-7224C49458BB}"/>
                <c:ext xmlns:c16="http://schemas.microsoft.com/office/drawing/2014/chart" uri="{C3380CC4-5D6E-409C-BE32-E72D297353CC}">
                  <c16:uniqueId val="{0000000B-6548-41B3-9C29-FB2224B4D2D1}"/>
                </c:ext>
              </c:extLst>
            </c:dLbl>
            <c:dLbl>
              <c:idx val="5"/>
              <c:delete val="1"/>
              <c:extLst>
                <c:ext xmlns:c15="http://schemas.microsoft.com/office/drawing/2012/chart" uri="{CE6537A1-D6FC-4f65-9D91-7224C49458BB}"/>
                <c:ext xmlns:c16="http://schemas.microsoft.com/office/drawing/2014/chart" uri="{C3380CC4-5D6E-409C-BE32-E72D297353CC}">
                  <c16:uniqueId val="{0000000A-6548-41B3-9C29-FB2224B4D2D1}"/>
                </c:ext>
              </c:extLst>
            </c:dLbl>
            <c:dLbl>
              <c:idx val="6"/>
              <c:delete val="1"/>
              <c:extLst>
                <c:ext xmlns:c15="http://schemas.microsoft.com/office/drawing/2012/chart" uri="{CE6537A1-D6FC-4f65-9D91-7224C49458BB}"/>
                <c:ext xmlns:c16="http://schemas.microsoft.com/office/drawing/2014/chart" uri="{C3380CC4-5D6E-409C-BE32-E72D297353CC}">
                  <c16:uniqueId val="{00000009-6548-41B3-9C29-FB2224B4D2D1}"/>
                </c:ext>
              </c:extLst>
            </c:dLbl>
            <c:dLbl>
              <c:idx val="7"/>
              <c:delete val="1"/>
              <c:extLst>
                <c:ext xmlns:c15="http://schemas.microsoft.com/office/drawing/2012/chart" uri="{CE6537A1-D6FC-4f65-9D91-7224C49458BB}"/>
                <c:ext xmlns:c16="http://schemas.microsoft.com/office/drawing/2014/chart" uri="{C3380CC4-5D6E-409C-BE32-E72D297353CC}">
                  <c16:uniqueId val="{00000008-6548-41B3-9C29-FB2224B4D2D1}"/>
                </c:ext>
              </c:extLst>
            </c:dLbl>
            <c:dLbl>
              <c:idx val="8"/>
              <c:delete val="1"/>
              <c:extLst>
                <c:ext xmlns:c15="http://schemas.microsoft.com/office/drawing/2012/chart" uri="{CE6537A1-D6FC-4f65-9D91-7224C49458BB}"/>
                <c:ext xmlns:c16="http://schemas.microsoft.com/office/drawing/2014/chart" uri="{C3380CC4-5D6E-409C-BE32-E72D297353CC}">
                  <c16:uniqueId val="{00000007-6548-41B3-9C29-FB2224B4D2D1}"/>
                </c:ext>
              </c:extLst>
            </c:dLbl>
            <c:dLbl>
              <c:idx val="9"/>
              <c:delete val="1"/>
              <c:extLst>
                <c:ext xmlns:c15="http://schemas.microsoft.com/office/drawing/2012/chart" uri="{CE6537A1-D6FC-4f65-9D91-7224C49458BB}"/>
                <c:ext xmlns:c16="http://schemas.microsoft.com/office/drawing/2014/chart" uri="{C3380CC4-5D6E-409C-BE32-E72D297353CC}">
                  <c16:uniqueId val="{00000006-6548-41B3-9C29-FB2224B4D2D1}"/>
                </c:ext>
              </c:extLst>
            </c:dLbl>
            <c:dLbl>
              <c:idx val="10"/>
              <c:layout>
                <c:manualLayout>
                  <c:x val="-4.5144159163375643E-2"/>
                  <c:y val="-9.6686445295199874E-2"/>
                </c:manualLayout>
              </c:layout>
              <c:numFmt formatCode="#,##0,,&quot;m&quot;;\(#,##0,,&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548-41B3-9C29-FB2224B4D2D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'Summary and Assumptions'!$D$64:$N$64</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'Summary and Assumptions'!$D$65:$N$65</c:f>
              <c:numCache>
                <c:formatCode>_(* #,##0_);_(* \(#,##0\);_(* "-"_);_(@_)</c:formatCode>
                <c:ptCount val="11"/>
                <c:pt idx="0">
                  <c:v>-242873610.63529411</c:v>
                </c:pt>
                <c:pt idx="1">
                  <c:v>-232839777.40729409</c:v>
                </c:pt>
                <c:pt idx="2">
                  <c:v>-222423832.67458409</c:v>
                </c:pt>
                <c:pt idx="3">
                  <c:v>-211611210.09998435</c:v>
                </c:pt>
                <c:pt idx="4">
                  <c:v>-200475503.27221063</c:v>
                </c:pt>
                <c:pt idx="5">
                  <c:v>-189007045.55214897</c:v>
                </c:pt>
                <c:pt idx="6">
                  <c:v>-177177651.87126628</c:v>
                </c:pt>
                <c:pt idx="7">
                  <c:v>-164976065.36141342</c:v>
                </c:pt>
                <c:pt idx="8">
                  <c:v>-152390680.59399188</c:v>
                </c:pt>
                <c:pt idx="9">
                  <c:v>-139409532.84908655</c:v>
                </c:pt>
                <c:pt idx="10">
                  <c:v>167013500.5484871</c:v>
                </c:pt>
              </c:numCache>
            </c:numRef>
          </c:val>
          <c:extLst>
            <c:ext xmlns:c16="http://schemas.microsoft.com/office/drawing/2014/chart" uri="{C3380CC4-5D6E-409C-BE32-E72D297353CC}">
              <c16:uniqueId val="{00000000-6548-41B3-9C29-FB2224B4D2D1}"/>
            </c:ext>
          </c:extLst>
        </c:ser>
        <c:dLbls>
          <c:showLegendKey val="0"/>
          <c:showVal val="0"/>
          <c:showCatName val="0"/>
          <c:showSerName val="0"/>
          <c:showPercent val="0"/>
          <c:showBubbleSize val="0"/>
        </c:dLbls>
        <c:axId val="1222580128"/>
        <c:axId val="1657637840"/>
      </c:areaChart>
      <c:catAx>
        <c:axId val="12225801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Hold</a:t>
                </a:r>
                <a:r>
                  <a:rPr lang="en-GB" baseline="0"/>
                  <a:t> Period Year</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quot;Y&quot;0"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7637840"/>
        <c:crosses val="autoZero"/>
        <c:auto val="1"/>
        <c:lblAlgn val="ctr"/>
        <c:lblOffset val="100"/>
        <c:noMultiLvlLbl val="0"/>
      </c:catAx>
      <c:valAx>
        <c:axId val="1657637840"/>
        <c:scaling>
          <c:orientation val="minMax"/>
        </c:scaling>
        <c:delete val="0"/>
        <c:axPos val="l"/>
        <c:majorGridlines>
          <c:spPr>
            <a:ln w="9525" cap="flat" cmpd="sng" algn="ctr">
              <a:noFill/>
              <a:round/>
            </a:ln>
            <a:effectLst/>
          </c:spPr>
        </c:majorGridlines>
        <c:numFmt formatCode="#,##0,,&quot;m&quot;;\(#,##0,,&quot;m&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2580128"/>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53</xdr:row>
      <xdr:rowOff>17929</xdr:rowOff>
    </xdr:from>
    <xdr:to>
      <xdr:col>8</xdr:col>
      <xdr:colOff>0</xdr:colOff>
      <xdr:row>70</xdr:row>
      <xdr:rowOff>107577</xdr:rowOff>
    </xdr:to>
    <xdr:graphicFrame macro="">
      <xdr:nvGraphicFramePr>
        <xdr:cNvPr id="2" name="Chart 1">
          <a:extLst>
            <a:ext uri="{FF2B5EF4-FFF2-40B4-BE49-F238E27FC236}">
              <a16:creationId xmlns:a16="http://schemas.microsoft.com/office/drawing/2014/main" id="{600D6568-C472-807E-93DA-258E6050DA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26894</xdr:colOff>
      <xdr:row>53</xdr:row>
      <xdr:rowOff>17929</xdr:rowOff>
    </xdr:from>
    <xdr:to>
      <xdr:col>15</xdr:col>
      <xdr:colOff>0</xdr:colOff>
      <xdr:row>70</xdr:row>
      <xdr:rowOff>89646</xdr:rowOff>
    </xdr:to>
    <xdr:graphicFrame macro="">
      <xdr:nvGraphicFramePr>
        <xdr:cNvPr id="3" name="Chart 2">
          <a:extLst>
            <a:ext uri="{FF2B5EF4-FFF2-40B4-BE49-F238E27FC236}">
              <a16:creationId xmlns:a16="http://schemas.microsoft.com/office/drawing/2014/main" id="{BC237206-B873-4169-2B06-63B02E8F96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2E26166-AE1B-4D23-8301-69D78FBA773B}">
  <we:reference id="WA200009404" version="1.0.0.8" store="Omex" storeType="OMEX"/>
  <we:alternateReferences>
    <we:reference id="WA200009404" version="1.0.0.8" store="WA200009404" storeType="OMEX"/>
  </we:alternateReferences>
  <we:properties>
    <we:property name="claude.fileId" value="&quot;c3cb9a46-e6f0-456a-b03b-ebe42824e90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R72"/>
  <sheetViews>
    <sheetView showGridLines="0" tabSelected="1" topLeftCell="A16" zoomScale="85" zoomScaleNormal="85" workbookViewId="0">
      <selection activeCell="I47" sqref="I47"/>
    </sheetView>
  </sheetViews>
  <sheetFormatPr defaultColWidth="0" defaultRowHeight="13.8" zeroHeight="1" x14ac:dyDescent="0.25"/>
  <cols>
    <col min="1" max="1" width="1.77734375" style="3" customWidth="1"/>
    <col min="2" max="2" width="8.88671875" style="3" customWidth="1"/>
    <col min="3" max="3" width="10.5546875" style="3" customWidth="1"/>
    <col min="4" max="4" width="8.88671875" style="3" customWidth="1"/>
    <col min="5" max="5" width="11.88671875" style="3" customWidth="1"/>
    <col min="6" max="6" width="11.21875" style="3" customWidth="1"/>
    <col min="7" max="7" width="14.44140625" style="3" customWidth="1"/>
    <col min="8" max="8" width="14.77734375" style="3" customWidth="1"/>
    <col min="9" max="9" width="13.5546875" style="24" customWidth="1"/>
    <col min="10" max="11" width="13.109375" style="3" customWidth="1"/>
    <col min="12" max="12" width="12.5546875" style="3" customWidth="1"/>
    <col min="13" max="13" width="10.109375" style="3" customWidth="1"/>
    <col min="14" max="14" width="14.109375" style="3" customWidth="1"/>
    <col min="15" max="15" width="9.6640625" style="3" customWidth="1"/>
    <col min="16" max="16" width="1.77734375" style="3" customWidth="1"/>
    <col min="17" max="18" width="8.88671875" style="3" customWidth="1"/>
    <col min="19" max="16384" width="8.88671875" style="3" hidden="1"/>
  </cols>
  <sheetData>
    <row r="1" spans="2:17" x14ac:dyDescent="0.25">
      <c r="I1" s="3"/>
    </row>
    <row r="2" spans="2:17" x14ac:dyDescent="0.25">
      <c r="B2" s="1" t="s">
        <v>0</v>
      </c>
      <c r="C2" s="2"/>
      <c r="D2" s="2"/>
      <c r="E2" s="2"/>
      <c r="F2" s="2"/>
      <c r="G2" s="2"/>
      <c r="H2" s="2"/>
      <c r="I2" s="2"/>
      <c r="J2" s="2"/>
      <c r="K2" s="2"/>
      <c r="L2" s="2"/>
      <c r="M2" s="2"/>
      <c r="N2" s="2"/>
      <c r="O2" s="30" t="s">
        <v>35</v>
      </c>
      <c r="Q2" s="5" t="s">
        <v>3</v>
      </c>
    </row>
    <row r="3" spans="2:17" x14ac:dyDescent="0.25">
      <c r="B3" s="4" t="s">
        <v>1</v>
      </c>
      <c r="C3" s="4"/>
      <c r="D3" s="4"/>
      <c r="E3" s="4"/>
      <c r="F3" s="4"/>
      <c r="G3" s="4"/>
      <c r="H3" s="4"/>
      <c r="I3" s="23" t="s">
        <v>2</v>
      </c>
      <c r="J3" s="4"/>
      <c r="K3" s="4"/>
      <c r="L3" s="4"/>
      <c r="M3" s="4"/>
      <c r="N3" s="4"/>
      <c r="O3" s="4"/>
      <c r="Q3" s="3" t="s">
        <v>4</v>
      </c>
    </row>
    <row r="4" spans="2:17" x14ac:dyDescent="0.25">
      <c r="B4" s="3" t="s">
        <v>6</v>
      </c>
      <c r="H4" s="7" t="s">
        <v>7</v>
      </c>
      <c r="I4" s="24" t="s">
        <v>21</v>
      </c>
      <c r="O4" s="18">
        <v>556710</v>
      </c>
      <c r="Q4" s="6" t="s">
        <v>5</v>
      </c>
    </row>
    <row r="5" spans="2:17" x14ac:dyDescent="0.25">
      <c r="B5" s="3" t="s">
        <v>8</v>
      </c>
      <c r="H5" s="7" t="s">
        <v>31</v>
      </c>
      <c r="I5" s="24" t="s">
        <v>23</v>
      </c>
      <c r="O5" s="17">
        <f>SUMPRODUCT(D13:D16,E13:E16)</f>
        <v>394976</v>
      </c>
    </row>
    <row r="6" spans="2:17" x14ac:dyDescent="0.25">
      <c r="B6" s="3" t="s">
        <v>9</v>
      </c>
      <c r="D6" s="7" t="s">
        <v>10</v>
      </c>
      <c r="E6" s="24" t="s">
        <v>30</v>
      </c>
      <c r="H6" s="7" t="s">
        <v>32</v>
      </c>
      <c r="I6" s="24" t="s">
        <v>24</v>
      </c>
      <c r="O6" s="25">
        <f>GLA/GIA</f>
        <v>0.70948249537461161</v>
      </c>
    </row>
    <row r="7" spans="2:17" x14ac:dyDescent="0.25">
      <c r="I7" s="24" t="s">
        <v>22</v>
      </c>
      <c r="K7" s="5">
        <v>2</v>
      </c>
      <c r="L7" s="24" t="s">
        <v>29</v>
      </c>
      <c r="M7" s="24"/>
      <c r="O7" s="29">
        <v>2024</v>
      </c>
    </row>
    <row r="8" spans="2:17" x14ac:dyDescent="0.25">
      <c r="B8" s="108" t="s">
        <v>33</v>
      </c>
      <c r="C8" s="108"/>
      <c r="D8" s="108"/>
      <c r="E8" s="108"/>
      <c r="F8" s="108"/>
      <c r="G8" s="108"/>
      <c r="H8" s="108"/>
      <c r="I8" s="26" t="s">
        <v>25</v>
      </c>
      <c r="K8" s="28">
        <v>415</v>
      </c>
      <c r="L8" s="24" t="s">
        <v>27</v>
      </c>
      <c r="M8" s="24"/>
      <c r="O8" s="27">
        <f>D17</f>
        <v>598</v>
      </c>
    </row>
    <row r="9" spans="2:17" x14ac:dyDescent="0.25">
      <c r="B9" s="108"/>
      <c r="C9" s="108"/>
      <c r="D9" s="108"/>
      <c r="E9" s="108"/>
      <c r="F9" s="108"/>
      <c r="G9" s="108"/>
      <c r="H9" s="108"/>
      <c r="I9" s="26" t="s">
        <v>26</v>
      </c>
      <c r="K9" s="28">
        <v>183</v>
      </c>
      <c r="L9" s="24" t="s">
        <v>28</v>
      </c>
      <c r="M9" s="24"/>
      <c r="O9" s="11">
        <f>E17</f>
        <v>660.49498327759193</v>
      </c>
    </row>
    <row r="10" spans="2:17" x14ac:dyDescent="0.25">
      <c r="B10" s="4" t="s">
        <v>34</v>
      </c>
      <c r="C10" s="4"/>
      <c r="D10" s="4"/>
      <c r="E10" s="4"/>
      <c r="F10" s="4"/>
      <c r="G10" s="4"/>
      <c r="H10" s="4"/>
      <c r="I10" s="4"/>
      <c r="J10" s="4"/>
      <c r="K10" s="4"/>
      <c r="L10" s="4"/>
      <c r="M10" s="4"/>
      <c r="N10" s="4"/>
      <c r="O10" s="4"/>
    </row>
    <row r="11" spans="2:17" x14ac:dyDescent="0.25">
      <c r="C11" s="8"/>
      <c r="D11" s="8"/>
      <c r="E11" s="8"/>
      <c r="F11" s="8" t="s">
        <v>17</v>
      </c>
      <c r="G11" s="8" t="s">
        <v>18</v>
      </c>
      <c r="H11" s="8" t="s">
        <v>36</v>
      </c>
      <c r="I11" s="8" t="s">
        <v>38</v>
      </c>
      <c r="J11" s="8" t="s">
        <v>38</v>
      </c>
      <c r="L11" s="8" t="s">
        <v>112</v>
      </c>
    </row>
    <row r="12" spans="2:17" x14ac:dyDescent="0.25">
      <c r="B12" s="21"/>
      <c r="C12" s="20" t="s">
        <v>41</v>
      </c>
      <c r="D12" s="20" t="s">
        <v>11</v>
      </c>
      <c r="E12" s="20" t="s">
        <v>12</v>
      </c>
      <c r="F12" s="20" t="str">
        <f>"/ Unit"</f>
        <v>/ Unit</v>
      </c>
      <c r="G12" s="20" t="s">
        <v>19</v>
      </c>
      <c r="H12" s="20" t="s">
        <v>37</v>
      </c>
      <c r="I12" s="20" t="s">
        <v>39</v>
      </c>
      <c r="J12" s="20" t="s">
        <v>40</v>
      </c>
      <c r="K12" s="20" t="s">
        <v>20</v>
      </c>
      <c r="L12" s="63">
        <v>2</v>
      </c>
      <c r="N12" s="35" t="s">
        <v>43</v>
      </c>
      <c r="O12" s="34">
        <v>3.7499999999999999E-2</v>
      </c>
    </row>
    <row r="13" spans="2:17" x14ac:dyDescent="0.25">
      <c r="B13" s="22" t="s">
        <v>13</v>
      </c>
      <c r="C13" s="7" t="str">
        <f>"0 / 1"</f>
        <v>0 / 1</v>
      </c>
      <c r="D13" s="7">
        <v>34</v>
      </c>
      <c r="E13" s="13">
        <v>404</v>
      </c>
      <c r="F13" s="14">
        <v>1500</v>
      </c>
      <c r="G13" s="16">
        <v>1.0900000000000001</v>
      </c>
      <c r="H13" s="12">
        <f>F13*G13</f>
        <v>1635.0000000000002</v>
      </c>
      <c r="I13" s="32">
        <f>H13*12</f>
        <v>19620.000000000004</v>
      </c>
      <c r="J13" s="33">
        <f>I13/E13</f>
        <v>48.564356435643575</v>
      </c>
      <c r="K13" s="17">
        <f>I13*D13</f>
        <v>667080.00000000012</v>
      </c>
      <c r="L13" s="63">
        <v>4</v>
      </c>
      <c r="N13" s="35" t="s">
        <v>44</v>
      </c>
      <c r="O13" s="34">
        <v>0.03</v>
      </c>
    </row>
    <row r="14" spans="2:17" x14ac:dyDescent="0.25">
      <c r="B14" s="22" t="s">
        <v>14</v>
      </c>
      <c r="C14" s="7" t="str">
        <f>"1 / 1"</f>
        <v>1 / 1</v>
      </c>
      <c r="D14" s="7">
        <v>328</v>
      </c>
      <c r="E14" s="13">
        <v>547</v>
      </c>
      <c r="F14" s="14">
        <v>1700</v>
      </c>
      <c r="G14" s="16">
        <f>((1890+1825)/2)/F14</f>
        <v>1.0926470588235293</v>
      </c>
      <c r="H14" s="12">
        <f t="shared" ref="H14:H16" si="0">F14*G14</f>
        <v>1857.4999999999998</v>
      </c>
      <c r="I14" s="32">
        <f t="shared" ref="I14:I16" si="1">H14*12</f>
        <v>22289.999999999996</v>
      </c>
      <c r="J14" s="33">
        <f t="shared" ref="J14:J16" si="2">I14/E14</f>
        <v>40.749542961608768</v>
      </c>
      <c r="K14" s="17">
        <f t="shared" ref="K14:K16" si="3">I14*D14</f>
        <v>7311119.9999999991</v>
      </c>
      <c r="L14" s="17"/>
      <c r="N14" s="35" t="s">
        <v>65</v>
      </c>
      <c r="O14" s="34">
        <v>0.04</v>
      </c>
    </row>
    <row r="15" spans="2:17" ht="15.6" x14ac:dyDescent="0.4">
      <c r="B15" s="22" t="s">
        <v>15</v>
      </c>
      <c r="C15" s="7" t="str">
        <f>"2 / 2"</f>
        <v>2 / 2</v>
      </c>
      <c r="D15" s="7">
        <v>214</v>
      </c>
      <c r="E15" s="13">
        <v>855</v>
      </c>
      <c r="F15" s="14">
        <v>2150</v>
      </c>
      <c r="G15" s="16">
        <v>1.08</v>
      </c>
      <c r="H15" s="12">
        <f t="shared" si="0"/>
        <v>2322</v>
      </c>
      <c r="I15" s="32">
        <f t="shared" si="1"/>
        <v>27864</v>
      </c>
      <c r="J15" s="33">
        <f t="shared" si="2"/>
        <v>32.589473684210525</v>
      </c>
      <c r="K15" s="17">
        <f t="shared" si="3"/>
        <v>5962896</v>
      </c>
      <c r="L15" s="19"/>
      <c r="N15" s="35" t="s">
        <v>42</v>
      </c>
      <c r="O15" s="34">
        <v>0.02</v>
      </c>
    </row>
    <row r="16" spans="2:17" ht="15.6" x14ac:dyDescent="0.4">
      <c r="B16" s="22" t="s">
        <v>16</v>
      </c>
      <c r="C16" s="7" t="str">
        <f>"3 / 2"</f>
        <v>3 / 2</v>
      </c>
      <c r="D16" s="10">
        <v>22</v>
      </c>
      <c r="E16" s="15">
        <v>857</v>
      </c>
      <c r="F16" s="14">
        <v>2770</v>
      </c>
      <c r="G16" s="16">
        <v>1.05</v>
      </c>
      <c r="H16" s="12">
        <f t="shared" si="0"/>
        <v>2908.5</v>
      </c>
      <c r="I16" s="32">
        <f t="shared" si="1"/>
        <v>34902</v>
      </c>
      <c r="J16" s="33">
        <f t="shared" si="2"/>
        <v>40.725787631271878</v>
      </c>
      <c r="K16" s="19">
        <f t="shared" si="3"/>
        <v>767844</v>
      </c>
      <c r="L16" s="19"/>
      <c r="N16" s="35" t="s">
        <v>48</v>
      </c>
      <c r="O16" s="34">
        <v>0.02</v>
      </c>
    </row>
    <row r="17" spans="2:15" x14ac:dyDescent="0.25">
      <c r="C17" s="5"/>
      <c r="D17" s="3">
        <f>SUM(D13:D16)</f>
        <v>598</v>
      </c>
      <c r="E17" s="11">
        <f>SUMPRODUCT(D13:D16,E13:E16)/D17</f>
        <v>660.49498327759193</v>
      </c>
      <c r="F17" s="11"/>
      <c r="I17" s="17"/>
      <c r="J17" s="17"/>
      <c r="K17" s="17">
        <f>SUM(K13:K16)</f>
        <v>14708940</v>
      </c>
      <c r="L17" s="17"/>
    </row>
    <row r="18" spans="2:15" x14ac:dyDescent="0.25">
      <c r="B18" s="4" t="s">
        <v>83</v>
      </c>
      <c r="C18" s="4"/>
      <c r="D18" s="4"/>
      <c r="E18" s="36"/>
      <c r="F18" s="36"/>
      <c r="G18" s="4"/>
      <c r="H18" s="4"/>
      <c r="I18" s="23" t="s">
        <v>45</v>
      </c>
      <c r="J18" s="4"/>
      <c r="K18" s="4"/>
      <c r="L18" s="4"/>
      <c r="M18" s="4"/>
      <c r="N18" s="4"/>
      <c r="O18" s="4"/>
    </row>
    <row r="19" spans="2:15" x14ac:dyDescent="0.25">
      <c r="B19" s="3" t="s">
        <v>102</v>
      </c>
      <c r="E19" s="61">
        <v>46266</v>
      </c>
      <c r="F19" s="24"/>
      <c r="H19" s="64"/>
      <c r="I19" s="24" t="s">
        <v>84</v>
      </c>
      <c r="O19" s="34">
        <v>0.25</v>
      </c>
    </row>
    <row r="20" spans="2:15" x14ac:dyDescent="0.25">
      <c r="B20" s="3" t="s">
        <v>103</v>
      </c>
      <c r="E20" s="63">
        <v>10</v>
      </c>
      <c r="F20" s="24"/>
      <c r="H20" s="44"/>
      <c r="I20" s="3"/>
      <c r="N20" s="47" t="s">
        <v>69</v>
      </c>
      <c r="O20" s="8" t="s">
        <v>86</v>
      </c>
    </row>
    <row r="21" spans="2:15" x14ac:dyDescent="0.25">
      <c r="B21" s="3" t="s">
        <v>104</v>
      </c>
      <c r="E21" s="62">
        <f>E20+1</f>
        <v>11</v>
      </c>
      <c r="I21" s="24" t="s">
        <v>70</v>
      </c>
      <c r="L21" s="55" t="s">
        <v>82</v>
      </c>
      <c r="N21" s="56">
        <v>0.12</v>
      </c>
      <c r="O21" s="53">
        <f>N21*$O$19</f>
        <v>0.03</v>
      </c>
    </row>
    <row r="22" spans="2:15" x14ac:dyDescent="0.25">
      <c r="I22" s="24" t="s">
        <v>71</v>
      </c>
      <c r="L22" s="55" t="str">
        <f>IF(O28=O19,"OK", "Error")</f>
        <v>OK</v>
      </c>
      <c r="N22" s="56">
        <v>0.25</v>
      </c>
      <c r="O22" s="53">
        <f>N22*$O$19</f>
        <v>6.25E-2</v>
      </c>
    </row>
    <row r="23" spans="2:15" x14ac:dyDescent="0.25">
      <c r="B23" s="79" t="s">
        <v>105</v>
      </c>
      <c r="C23" s="80"/>
      <c r="D23" s="80"/>
      <c r="E23" s="81">
        <v>4.2500000000000003E-2</v>
      </c>
      <c r="F23" s="82" t="s">
        <v>106</v>
      </c>
      <c r="G23" s="80"/>
      <c r="H23" s="102">
        <v>4.7500000000000001E-2</v>
      </c>
      <c r="I23" s="24" t="s">
        <v>72</v>
      </c>
      <c r="N23" s="56">
        <v>0.15</v>
      </c>
      <c r="O23" s="53">
        <f t="shared" ref="O23:O27" si="4">N23*$O$19</f>
        <v>3.7499999999999999E-2</v>
      </c>
    </row>
    <row r="24" spans="2:15" x14ac:dyDescent="0.25">
      <c r="B24" s="83" t="s">
        <v>125</v>
      </c>
      <c r="E24" s="34">
        <v>0.05</v>
      </c>
      <c r="F24" s="26" t="s">
        <v>123</v>
      </c>
      <c r="H24" s="84">
        <v>0.02</v>
      </c>
      <c r="I24" s="24" t="s">
        <v>73</v>
      </c>
      <c r="N24" s="56">
        <v>0.15</v>
      </c>
      <c r="O24" s="53">
        <f t="shared" si="4"/>
        <v>3.7499999999999999E-2</v>
      </c>
    </row>
    <row r="25" spans="2:15" x14ac:dyDescent="0.25">
      <c r="B25" s="85" t="s">
        <v>124</v>
      </c>
      <c r="C25" s="78"/>
      <c r="D25" s="78"/>
      <c r="E25" s="86">
        <v>2.5000000000000001E-2</v>
      </c>
      <c r="F25" s="78"/>
      <c r="G25" s="78"/>
      <c r="H25" s="21"/>
      <c r="I25" s="24" t="s">
        <v>74</v>
      </c>
      <c r="N25" s="56">
        <v>0.08</v>
      </c>
      <c r="O25" s="53">
        <f t="shared" si="4"/>
        <v>0.02</v>
      </c>
    </row>
    <row r="26" spans="2:15" x14ac:dyDescent="0.25">
      <c r="I26" s="24" t="s">
        <v>76</v>
      </c>
      <c r="N26" s="56">
        <v>0.17</v>
      </c>
      <c r="O26" s="53">
        <f t="shared" si="4"/>
        <v>4.2500000000000003E-2</v>
      </c>
    </row>
    <row r="27" spans="2:15" x14ac:dyDescent="0.25">
      <c r="B27" s="4" t="s">
        <v>133</v>
      </c>
      <c r="C27" s="4"/>
      <c r="D27" s="4"/>
      <c r="E27" s="36"/>
      <c r="F27" s="36"/>
      <c r="G27" s="36" t="s">
        <v>134</v>
      </c>
      <c r="H27" s="36" t="s">
        <v>127</v>
      </c>
      <c r="I27" s="24" t="s">
        <v>75</v>
      </c>
      <c r="N27" s="57">
        <v>0.08</v>
      </c>
      <c r="O27" s="54">
        <f t="shared" si="4"/>
        <v>0.02</v>
      </c>
    </row>
    <row r="28" spans="2:15" x14ac:dyDescent="0.25">
      <c r="B28" s="24" t="s">
        <v>51</v>
      </c>
      <c r="G28" s="37">
        <f>Acquisition!H8</f>
        <v>14414761.199999999</v>
      </c>
      <c r="H28" s="37">
        <f>Reversion!H8</f>
        <v>19655380.724577364</v>
      </c>
      <c r="I28" s="3"/>
      <c r="N28" s="53">
        <f>SUM(N21:N27)</f>
        <v>1</v>
      </c>
      <c r="O28" s="53">
        <f>SUM(O21:O27)</f>
        <v>0.25</v>
      </c>
    </row>
    <row r="29" spans="2:15" x14ac:dyDescent="0.25">
      <c r="B29" s="24" t="s">
        <v>58</v>
      </c>
      <c r="G29" s="87">
        <f>Acquisition!H12</f>
        <v>129600</v>
      </c>
      <c r="H29" s="87">
        <f>Reversion!H12</f>
        <v>157981.67683132054</v>
      </c>
      <c r="N29" s="56"/>
      <c r="O29" s="53"/>
    </row>
    <row r="30" spans="2:15" x14ac:dyDescent="0.25">
      <c r="B30" s="3" t="s">
        <v>64</v>
      </c>
      <c r="G30" s="17">
        <f>SUM(G28:G29)</f>
        <v>14544361.199999999</v>
      </c>
      <c r="H30" s="17">
        <f>SUM(H28:H29)</f>
        <v>19813362.401408684</v>
      </c>
      <c r="I30" s="24" t="s">
        <v>114</v>
      </c>
      <c r="L30" s="8"/>
      <c r="M30" s="8" t="s">
        <v>81</v>
      </c>
      <c r="N30" s="8" t="s">
        <v>80</v>
      </c>
      <c r="O30" s="8" t="s">
        <v>77</v>
      </c>
    </row>
    <row r="31" spans="2:15" ht="15.6" x14ac:dyDescent="0.4">
      <c r="B31" s="24" t="s">
        <v>65</v>
      </c>
      <c r="G31" s="39">
        <f>Acquisition!H16</f>
        <v>-581774.44799999997</v>
      </c>
      <c r="H31" s="39">
        <f>Reversion!H16</f>
        <v>-792534.49605634739</v>
      </c>
      <c r="I31" s="26" t="s">
        <v>78</v>
      </c>
      <c r="L31" s="49"/>
      <c r="M31" s="49">
        <f>IF(N31&lt;51000,43.2%,48%)</f>
        <v>0.43200000000000005</v>
      </c>
      <c r="N31" s="50">
        <v>24000</v>
      </c>
      <c r="O31" s="51">
        <f>N31*M31</f>
        <v>10368.000000000002</v>
      </c>
    </row>
    <row r="32" spans="2:15" ht="15.6" x14ac:dyDescent="0.4">
      <c r="B32" s="3" t="s">
        <v>66</v>
      </c>
      <c r="G32" s="17">
        <f>SUM(G30:G31)</f>
        <v>13962586.751999998</v>
      </c>
      <c r="H32" s="17">
        <f>SUM(H30:H31)</f>
        <v>19020827.905352335</v>
      </c>
      <c r="I32" s="26" t="s">
        <v>79</v>
      </c>
      <c r="L32" s="49"/>
      <c r="M32" s="49">
        <f>IF(N32&lt;51000,43.2%,48%)</f>
        <v>0.48</v>
      </c>
      <c r="N32" s="50">
        <v>55000</v>
      </c>
      <c r="O32" s="52">
        <f>N32*M32</f>
        <v>26400</v>
      </c>
    </row>
    <row r="33" spans="2:15" ht="15.6" x14ac:dyDescent="0.4">
      <c r="B33" s="3" t="s">
        <v>87</v>
      </c>
      <c r="G33" s="39">
        <f>Acquisition!H29</f>
        <v>3640458.2999999993</v>
      </c>
      <c r="H33" s="39">
        <f>Reversion!H29</f>
        <v>4817659.6286154976</v>
      </c>
      <c r="I33" s="24" t="s">
        <v>115</v>
      </c>
      <c r="M33" s="48"/>
      <c r="O33" s="51">
        <f>SUM(O31:O32)</f>
        <v>36768</v>
      </c>
    </row>
    <row r="34" spans="2:15" x14ac:dyDescent="0.25">
      <c r="B34" s="3" t="s">
        <v>135</v>
      </c>
      <c r="G34" s="17">
        <f>G32-G33</f>
        <v>10322128.452</v>
      </c>
      <c r="H34" s="17">
        <f>H32-H33</f>
        <v>14203168.276736837</v>
      </c>
    </row>
    <row r="35" spans="2:15" x14ac:dyDescent="0.25">
      <c r="B35" s="3" t="s">
        <v>136</v>
      </c>
      <c r="G35" s="44">
        <f>E23</f>
        <v>4.2500000000000003E-2</v>
      </c>
      <c r="H35" s="44">
        <f>H23</f>
        <v>4.7500000000000001E-2</v>
      </c>
      <c r="I35" s="24" t="s">
        <v>111</v>
      </c>
      <c r="M35" s="8" t="s">
        <v>112</v>
      </c>
      <c r="N35" s="66" t="s">
        <v>113</v>
      </c>
      <c r="O35" s="34"/>
    </row>
    <row r="36" spans="2:15" x14ac:dyDescent="0.25">
      <c r="B36" s="3" t="s">
        <v>140</v>
      </c>
      <c r="G36" s="37">
        <f>Acquisition!H39</f>
        <v>225928940.12585497</v>
      </c>
      <c r="H36" s="37">
        <f>Reversion!H39</f>
        <v>299014068.98393339</v>
      </c>
      <c r="I36" s="26" t="str">
        <f>"Years "&amp;M36&amp;"-"&amp;N36</f>
        <v>Years 2-3</v>
      </c>
      <c r="M36" s="63">
        <v>2</v>
      </c>
      <c r="N36" s="73">
        <v>3</v>
      </c>
      <c r="O36" s="74">
        <v>3.5000000000000003E-2</v>
      </c>
    </row>
    <row r="37" spans="2:15" ht="15.6" x14ac:dyDescent="0.4">
      <c r="B37" s="24" t="s">
        <v>137</v>
      </c>
      <c r="G37" s="39">
        <f>SUM(Acquisition!H40:H41)</f>
        <v>16944670.509439126</v>
      </c>
      <c r="H37" s="39">
        <f>Reversion!H40</f>
        <v>-5980281.3796786675</v>
      </c>
      <c r="I37" s="26" t="str">
        <f>"Years "&amp;M37&amp;"-"&amp;N37</f>
        <v>Years 4-5</v>
      </c>
      <c r="M37" s="63">
        <v>4</v>
      </c>
      <c r="N37" s="73">
        <v>5</v>
      </c>
      <c r="O37" s="74">
        <v>0.03</v>
      </c>
    </row>
    <row r="38" spans="2:15" x14ac:dyDescent="0.25">
      <c r="B38" s="3" t="s">
        <v>138</v>
      </c>
      <c r="G38" s="18">
        <f>SUM(G36:G37)</f>
        <v>242873610.63529408</v>
      </c>
      <c r="H38" s="17">
        <f>SUM(H36:H37)</f>
        <v>293033787.60425472</v>
      </c>
      <c r="I38" s="26" t="str">
        <f>"Years "&amp;M38&amp;"+"</f>
        <v>Years 6+</v>
      </c>
      <c r="M38" s="63">
        <v>6</v>
      </c>
      <c r="N38" s="73">
        <f>E21</f>
        <v>11</v>
      </c>
      <c r="O38" s="74">
        <v>2.5000000000000001E-2</v>
      </c>
    </row>
    <row r="39" spans="2:15" x14ac:dyDescent="0.25">
      <c r="I39" s="3"/>
    </row>
    <row r="40" spans="2:15" x14ac:dyDescent="0.25">
      <c r="B40" s="4" t="s">
        <v>157</v>
      </c>
      <c r="C40" s="4"/>
      <c r="D40" s="4"/>
      <c r="E40" s="4"/>
      <c r="F40" s="4"/>
      <c r="G40" s="4"/>
      <c r="H40" s="4"/>
      <c r="I40" s="23"/>
      <c r="J40" s="4"/>
      <c r="K40" s="4"/>
      <c r="L40" s="4"/>
      <c r="M40" s="4"/>
      <c r="N40" s="4"/>
      <c r="O40" s="4"/>
    </row>
    <row r="41" spans="2:15" x14ac:dyDescent="0.25">
      <c r="B41" s="3" t="s">
        <v>149</v>
      </c>
      <c r="E41" s="96">
        <f>'Property Returns'!F34</f>
        <v>6.2821206699964494E-2</v>
      </c>
      <c r="F41" s="3" t="s">
        <v>154</v>
      </c>
      <c r="H41" s="96">
        <f>AVERAGE('Property Returns'!G25:P25)</f>
        <v>4.8112811957572756E-2</v>
      </c>
      <c r="I41" s="112" t="s">
        <v>156</v>
      </c>
      <c r="J41" s="113"/>
      <c r="K41" s="113"/>
      <c r="L41" s="113"/>
      <c r="M41" s="113"/>
      <c r="N41" s="113"/>
      <c r="O41" s="113"/>
    </row>
    <row r="42" spans="2:15" x14ac:dyDescent="0.25">
      <c r="B42" s="3" t="s">
        <v>150</v>
      </c>
      <c r="E42" s="97">
        <f>'Property Returns'!F35</f>
        <v>1.6876560203952307</v>
      </c>
      <c r="F42" s="3" t="s">
        <v>171</v>
      </c>
      <c r="H42" s="98">
        <f>'Property Returns'!F36/'Summary and Assumptions'!E20/SUM('Property Returns'!F8:P8)</f>
        <v>6.876560203952306E-2</v>
      </c>
      <c r="I42" s="114"/>
      <c r="J42" s="115"/>
      <c r="K42" s="116"/>
      <c r="L42" s="115"/>
      <c r="M42" s="115"/>
      <c r="N42" s="115"/>
      <c r="O42" s="115"/>
    </row>
    <row r="43" spans="2:15" x14ac:dyDescent="0.25">
      <c r="E43" s="95"/>
      <c r="I43" s="117"/>
      <c r="J43" s="118">
        <f>E41</f>
        <v>6.2821206699964494E-2</v>
      </c>
      <c r="K43" s="119">
        <f>L43-0.5%</f>
        <v>1.9999999999999997E-2</v>
      </c>
      <c r="L43" s="119">
        <f>M43-0.5%</f>
        <v>2.4999999999999998E-2</v>
      </c>
      <c r="M43" s="120">
        <v>0.03</v>
      </c>
      <c r="N43" s="119">
        <f>M43+0.5%</f>
        <v>3.4999999999999996E-2</v>
      </c>
      <c r="O43" s="119">
        <f>N43+0.5%</f>
        <v>3.9999999999999994E-2</v>
      </c>
    </row>
    <row r="44" spans="2:15" x14ac:dyDescent="0.25">
      <c r="F44" s="8" t="s">
        <v>161</v>
      </c>
      <c r="G44" s="8" t="s">
        <v>162</v>
      </c>
      <c r="H44" s="8" t="s">
        <v>163</v>
      </c>
      <c r="I44" s="117"/>
      <c r="J44" s="121">
        <f>J45-2.5%</f>
        <v>0.2</v>
      </c>
      <c r="K44" s="115">
        <f t="dataTable" ref="K44:O48" dt2D="1" dtr="1" r1="O13" r2="O19"/>
        <v>6.1987797858791938E-2</v>
      </c>
      <c r="L44" s="115">
        <v>6.6663043139040479E-2</v>
      </c>
      <c r="M44" s="115">
        <v>7.1301931101052984E-2</v>
      </c>
      <c r="N44" s="115">
        <v>7.5906339333414952E-2</v>
      </c>
      <c r="O44" s="115">
        <v>8.0478013709865515E-2</v>
      </c>
    </row>
    <row r="45" spans="2:15" x14ac:dyDescent="0.25">
      <c r="B45" s="3" t="s">
        <v>158</v>
      </c>
      <c r="D45" s="105"/>
      <c r="F45" s="45">
        <v>0.02</v>
      </c>
      <c r="G45" s="45">
        <v>0.03</v>
      </c>
      <c r="H45" s="45">
        <v>0.04</v>
      </c>
      <c r="I45" s="117"/>
      <c r="J45" s="121">
        <f>J46-2.5%</f>
        <v>0.22500000000000001</v>
      </c>
      <c r="K45" s="115">
        <v>5.7536028807105621E-2</v>
      </c>
      <c r="L45" s="115">
        <v>6.2346722237189622E-2</v>
      </c>
      <c r="M45" s="115">
        <v>6.71140817947391E-2</v>
      </c>
      <c r="N45" s="115">
        <v>7.1840468257785561E-2</v>
      </c>
      <c r="O45" s="115">
        <v>7.65280672981834E-2</v>
      </c>
    </row>
    <row r="46" spans="2:15" x14ac:dyDescent="0.25">
      <c r="B46" s="3" t="s">
        <v>164</v>
      </c>
      <c r="D46" s="105"/>
      <c r="F46" s="103" t="s">
        <v>165</v>
      </c>
      <c r="G46" s="103" t="s">
        <v>166</v>
      </c>
      <c r="H46" s="103" t="s">
        <v>167</v>
      </c>
      <c r="I46" s="117"/>
      <c r="J46" s="122">
        <v>0.25</v>
      </c>
      <c r="K46" s="115">
        <v>5.2961464731987373E-2</v>
      </c>
      <c r="L46" s="115">
        <v>5.7916920651225334E-2</v>
      </c>
      <c r="M46" s="115">
        <v>6.2821206699964494E-2</v>
      </c>
      <c r="N46" s="115">
        <v>6.7677260491359803E-2</v>
      </c>
      <c r="O46" s="115">
        <v>7.2487789287444926E-2</v>
      </c>
    </row>
    <row r="47" spans="2:15" x14ac:dyDescent="0.25">
      <c r="B47" s="3" t="s">
        <v>159</v>
      </c>
      <c r="D47" s="105"/>
      <c r="F47" s="45">
        <v>0.3</v>
      </c>
      <c r="G47" s="45">
        <v>0.25</v>
      </c>
      <c r="H47" s="45">
        <v>0.2</v>
      </c>
      <c r="I47" s="117"/>
      <c r="J47" s="121">
        <f>J46+2.5%</f>
        <v>0.27500000000000002</v>
      </c>
      <c r="K47" s="115">
        <v>4.8255393236655397E-2</v>
      </c>
      <c r="L47" s="115">
        <v>5.3365938964909709E-2</v>
      </c>
      <c r="M47" s="115">
        <v>5.8416484923299761E-2</v>
      </c>
      <c r="N47" s="115">
        <v>6.341065923022593E-2</v>
      </c>
      <c r="O47" s="115">
        <v>6.8351789243270789E-2</v>
      </c>
    </row>
    <row r="48" spans="2:15" x14ac:dyDescent="0.25">
      <c r="B48" s="3" t="s">
        <v>160</v>
      </c>
      <c r="D48" s="105"/>
      <c r="F48" s="45">
        <v>0.05</v>
      </c>
      <c r="G48" s="45">
        <v>0.04</v>
      </c>
      <c r="H48" s="45">
        <v>0.03</v>
      </c>
      <c r="I48" s="117"/>
      <c r="J48" s="121">
        <f>J47+2.5%</f>
        <v>0.30000000000000004</v>
      </c>
      <c r="K48" s="115">
        <v>4.3408123611310856E-2</v>
      </c>
      <c r="L48" s="115">
        <v>4.8685253122132233E-2</v>
      </c>
      <c r="M48" s="115">
        <v>5.3892398013932086E-2</v>
      </c>
      <c r="N48" s="115">
        <v>5.9034015622887903E-2</v>
      </c>
      <c r="O48" s="115">
        <v>6.411417261328034E-2</v>
      </c>
    </row>
    <row r="49" spans="2:15" x14ac:dyDescent="0.25">
      <c r="B49" s="3" t="s">
        <v>106</v>
      </c>
      <c r="D49" s="105"/>
      <c r="F49" s="45">
        <v>5.2499999999999998E-2</v>
      </c>
      <c r="G49" s="45">
        <v>4.7500000000000001E-2</v>
      </c>
      <c r="H49" s="45">
        <v>4.2500000000000003E-2</v>
      </c>
      <c r="I49" s="3"/>
    </row>
    <row r="50" spans="2:15" x14ac:dyDescent="0.25">
      <c r="B50" s="3" t="s">
        <v>149</v>
      </c>
      <c r="D50" s="105"/>
      <c r="F50" s="45">
        <v>3.1228511462289402E-2</v>
      </c>
      <c r="G50" s="45">
        <v>6.2821206699964494E-2</v>
      </c>
      <c r="H50" s="45">
        <v>9.2713415658378706E-2</v>
      </c>
    </row>
    <row r="51" spans="2:15" x14ac:dyDescent="0.25">
      <c r="B51" s="3" t="s">
        <v>150</v>
      </c>
      <c r="D51" s="105"/>
      <c r="F51" s="104">
        <v>1.2982726832756</v>
      </c>
      <c r="G51" s="104">
        <v>1.68765602039523</v>
      </c>
      <c r="H51" s="104">
        <v>2.1589883060482702</v>
      </c>
    </row>
    <row r="52" spans="2:15" x14ac:dyDescent="0.25"/>
    <row r="53" spans="2:15" x14ac:dyDescent="0.25">
      <c r="B53" s="4" t="s">
        <v>170</v>
      </c>
      <c r="C53" s="4"/>
      <c r="D53" s="4"/>
      <c r="E53" s="4"/>
      <c r="F53" s="4"/>
      <c r="G53" s="4"/>
      <c r="H53" s="4"/>
      <c r="I53" s="23"/>
      <c r="J53" s="4"/>
      <c r="K53" s="4"/>
      <c r="L53" s="4"/>
      <c r="M53" s="4"/>
      <c r="N53" s="4"/>
      <c r="O53" s="4"/>
    </row>
    <row r="54" spans="2:15" x14ac:dyDescent="0.25"/>
    <row r="55" spans="2:15" x14ac:dyDescent="0.25">
      <c r="B55" s="106" t="s">
        <v>118</v>
      </c>
      <c r="C55" s="106">
        <v>1</v>
      </c>
      <c r="D55" s="106">
        <f>C55+1</f>
        <v>2</v>
      </c>
      <c r="E55" s="106">
        <f t="shared" ref="E55:L55" si="5">D55+1</f>
        <v>3</v>
      </c>
      <c r="F55" s="106">
        <f t="shared" si="5"/>
        <v>4</v>
      </c>
      <c r="G55" s="106">
        <f t="shared" si="5"/>
        <v>5</v>
      </c>
      <c r="H55" s="106">
        <f t="shared" si="5"/>
        <v>6</v>
      </c>
      <c r="I55" s="106">
        <f t="shared" si="5"/>
        <v>7</v>
      </c>
      <c r="J55" s="106">
        <f t="shared" si="5"/>
        <v>8</v>
      </c>
      <c r="K55" s="106">
        <f t="shared" si="5"/>
        <v>9</v>
      </c>
      <c r="L55" s="106">
        <f t="shared" si="5"/>
        <v>10</v>
      </c>
      <c r="M55" s="106">
        <f t="shared" ref="M55" si="6">L55+1</f>
        <v>11</v>
      </c>
    </row>
    <row r="56" spans="2:15" x14ac:dyDescent="0.25">
      <c r="B56" s="106" t="s">
        <v>168</v>
      </c>
      <c r="C56" s="107">
        <f>'Operating Statement'!G33</f>
        <v>10322128.452</v>
      </c>
      <c r="D56" s="107">
        <f>'Operating Statement'!H33</f>
        <v>10715051.027610002</v>
      </c>
      <c r="E56" s="107">
        <f>'Operating Statement'!I33</f>
        <v>11122945.355558481</v>
      </c>
      <c r="F56" s="107">
        <f>'Operating Statement'!J33</f>
        <v>11455339.292161234</v>
      </c>
      <c r="G56" s="107">
        <f>'Operating Statement'!K33</f>
        <v>11797679.158380792</v>
      </c>
      <c r="H56" s="107">
        <f>'Operating Statement'!L33</f>
        <v>12168491.762351418</v>
      </c>
      <c r="I56" s="107">
        <f>'Operating Statement'!M33</f>
        <v>12550857.533765625</v>
      </c>
      <c r="J56" s="107">
        <f>'Operating Statement'!N33</f>
        <v>12945133.922051709</v>
      </c>
      <c r="K56" s="107">
        <f>'Operating Statement'!O33</f>
        <v>13351689.374174384</v>
      </c>
      <c r="L56" s="107">
        <f>'Operating Statement'!P33</f>
        <v>13770903.671466069</v>
      </c>
      <c r="M56" s="107">
        <f>'Operating Statement'!Q33</f>
        <v>14203168.276736837</v>
      </c>
    </row>
    <row r="57" spans="2:15" x14ac:dyDescent="0.25"/>
    <row r="58" spans="2:15" x14ac:dyDescent="0.25"/>
    <row r="59" spans="2:15" x14ac:dyDescent="0.25"/>
    <row r="60" spans="2:15" x14ac:dyDescent="0.25"/>
    <row r="61" spans="2:15" x14ac:dyDescent="0.25"/>
    <row r="62" spans="2:15" x14ac:dyDescent="0.25"/>
    <row r="63" spans="2:15" x14ac:dyDescent="0.25"/>
    <row r="64" spans="2:15" x14ac:dyDescent="0.25">
      <c r="C64" s="106" t="s">
        <v>118</v>
      </c>
      <c r="D64" s="106">
        <v>0</v>
      </c>
      <c r="E64" s="106">
        <f>D64+1</f>
        <v>1</v>
      </c>
      <c r="F64" s="106">
        <f t="shared" ref="F64:N64" si="7">E64+1</f>
        <v>2</v>
      </c>
      <c r="G64" s="106">
        <f t="shared" si="7"/>
        <v>3</v>
      </c>
      <c r="H64" s="106">
        <f t="shared" si="7"/>
        <v>4</v>
      </c>
      <c r="I64" s="106">
        <f t="shared" si="7"/>
        <v>5</v>
      </c>
      <c r="J64" s="106">
        <f t="shared" si="7"/>
        <v>6</v>
      </c>
      <c r="K64" s="106">
        <f t="shared" si="7"/>
        <v>7</v>
      </c>
      <c r="L64" s="106">
        <f t="shared" si="7"/>
        <v>8</v>
      </c>
      <c r="M64" s="106">
        <f t="shared" si="7"/>
        <v>9</v>
      </c>
      <c r="N64" s="106">
        <f t="shared" si="7"/>
        <v>10</v>
      </c>
    </row>
    <row r="65" spans="3:16" x14ac:dyDescent="0.25">
      <c r="C65" s="106" t="s">
        <v>169</v>
      </c>
      <c r="D65" s="107">
        <f>SUM('Property Returns'!$F$32:F32)</f>
        <v>-242873610.63529411</v>
      </c>
      <c r="E65" s="107">
        <f>SUM('Property Returns'!$F$32:G32)</f>
        <v>-232839777.40729409</v>
      </c>
      <c r="F65" s="107">
        <f>SUM('Property Returns'!$F$32:H32)</f>
        <v>-222423832.67458409</v>
      </c>
      <c r="G65" s="107">
        <f>SUM('Property Returns'!$F$32:I32)</f>
        <v>-211611210.09998435</v>
      </c>
      <c r="H65" s="107">
        <f>SUM('Property Returns'!$F$32:J32)</f>
        <v>-200475503.27221063</v>
      </c>
      <c r="I65" s="107">
        <f>SUM('Property Returns'!$F$32:K32)</f>
        <v>-189007045.55214897</v>
      </c>
      <c r="J65" s="107">
        <f>SUM('Property Returns'!$F$32:L32)</f>
        <v>-177177651.87126628</v>
      </c>
      <c r="K65" s="107">
        <f>SUM('Property Returns'!$F$32:M32)</f>
        <v>-164976065.36141342</v>
      </c>
      <c r="L65" s="107">
        <f>SUM('Property Returns'!$F$32:N32)</f>
        <v>-152390680.59399188</v>
      </c>
      <c r="M65" s="107">
        <f>SUM('Property Returns'!$F$32:O32)</f>
        <v>-139409532.84908655</v>
      </c>
      <c r="N65" s="107">
        <f>SUM('Property Returns'!$F$32:P32)</f>
        <v>167013500.5484871</v>
      </c>
      <c r="O65" s="17"/>
      <c r="P65" s="17">
        <f>SUM('Property Returns'!$F$32:R32)</f>
        <v>167013500.5484871</v>
      </c>
    </row>
    <row r="66" spans="3:16" x14ac:dyDescent="0.25"/>
    <row r="67" spans="3:16" x14ac:dyDescent="0.25"/>
    <row r="68" spans="3:16" x14ac:dyDescent="0.25"/>
    <row r="69" spans="3:16" x14ac:dyDescent="0.25">
      <c r="G69" s="24"/>
      <c r="H69" s="24"/>
      <c r="J69" s="24"/>
      <c r="K69" s="24"/>
      <c r="L69" s="24"/>
      <c r="M69" s="24"/>
      <c r="N69" s="24"/>
      <c r="O69" s="24"/>
    </row>
    <row r="70" spans="3:16" x14ac:dyDescent="0.25"/>
    <row r="71" spans="3:16" ht="14.4" x14ac:dyDescent="0.3">
      <c r="H71"/>
      <c r="I71"/>
      <c r="J71"/>
      <c r="K71"/>
      <c r="L71"/>
      <c r="M71"/>
    </row>
    <row r="72" spans="3:16" hidden="1" x14ac:dyDescent="0.25">
      <c r="G72" s="24"/>
      <c r="H72" s="24"/>
      <c r="J72" s="24"/>
      <c r="K72" s="24"/>
      <c r="L72" s="24"/>
      <c r="M72" s="24"/>
      <c r="N72" s="24"/>
      <c r="O72" s="24"/>
    </row>
  </sheetData>
  <scenarios current="1" show="1" sqref="E41 E42">
    <scenario name="Bear" locked="1" count="7" user="Owen Tolley" comment="Created by Owen Tolley on 2026-08-20">
      <inputCells r="O13" val="0.02" numFmtId="10"/>
      <inputCells r="O36" val="0.04" numFmtId="10"/>
      <inputCells r="O37" val="0.035" numFmtId="10"/>
      <inputCells r="O38" val="0.03" numFmtId="10"/>
      <inputCells r="O19" val="0.3" numFmtId="10"/>
      <inputCells r="O14" val="0.05" numFmtId="10"/>
      <inputCells r="H23" val="0.0525" numFmtId="10"/>
    </scenario>
    <scenario name="Base" locked="1" count="7" user="Owen Tolley" comment="Created by Owen Tolley on 2026-08-20_x000a_Modified by Owen Tolley on 2026-08-20">
      <inputCells r="O13" val="0.03" numFmtId="10"/>
      <inputCells r="O36" val="0.035" numFmtId="10"/>
      <inputCells r="O37" val="0.03" numFmtId="10"/>
      <inputCells r="O38" val="0.025" numFmtId="10"/>
      <inputCells r="O19" val="0.25" numFmtId="10"/>
      <inputCells r="O14" val="0.04" numFmtId="10"/>
      <inputCells r="H23" val="0.0475" numFmtId="10"/>
    </scenario>
    <scenario name="Bull" locked="1" count="7" user="Owen Tolley" comment="Created by Owen Tolley on 2026-08-20">
      <inputCells r="O13" val="0.04" numFmtId="10"/>
      <inputCells r="O36" val="0.03" numFmtId="10"/>
      <inputCells r="O37" val="0.025" numFmtId="10"/>
      <inputCells r="O38" val="0.02" numFmtId="10"/>
      <inputCells r="O19" val="0.2" numFmtId="10"/>
      <inputCells r="O14" val="0.03" numFmtId="10"/>
      <inputCells r="H23" val="0.0425" numFmtId="10"/>
    </scenario>
  </scenarios>
  <mergeCells count="1">
    <mergeCell ref="B8:H9"/>
  </mergeCells>
  <conditionalFormatting sqref="L22">
    <cfRule type="cellIs" dxfId="1" priority="1" operator="equal">
      <formula>"Error"</formula>
    </cfRule>
    <cfRule type="cellIs" dxfId="0" priority="2" operator="equal">
      <formula>"OK"</formula>
    </cfRule>
  </conditionalFormatting>
  <pageMargins left="0.7" right="0.7" top="0.75" bottom="0.75" header="0.3" footer="0.3"/>
  <pageSetup paperSize="9" scale="51" orientation="portrait" r:id="rId1"/>
  <colBreaks count="1" manualBreakCount="1">
    <brk id="15" max="70"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1D208-0A63-4A8D-B827-B2855F0005FE}">
  <sheetPr>
    <pageSetUpPr autoPageBreaks="0"/>
  </sheetPr>
  <dimension ref="A1:P43"/>
  <sheetViews>
    <sheetView showGridLines="0" topLeftCell="A12" zoomScaleNormal="100" workbookViewId="0">
      <selection activeCell="H42" sqref="H42"/>
    </sheetView>
  </sheetViews>
  <sheetFormatPr defaultColWidth="0" defaultRowHeight="13.8" zeroHeight="1" x14ac:dyDescent="0.25"/>
  <cols>
    <col min="1" max="1" width="1.77734375" style="3" customWidth="1"/>
    <col min="2" max="3" width="8.88671875" style="3" customWidth="1"/>
    <col min="4" max="4" width="10.88671875" style="3" customWidth="1"/>
    <col min="5" max="7" width="8.88671875" style="3" customWidth="1"/>
    <col min="8" max="8" width="13.109375" style="3" bestFit="1" customWidth="1"/>
    <col min="9" max="15" width="8.88671875" style="3" customWidth="1"/>
    <col min="16" max="16" width="1.77734375" style="3" customWidth="1"/>
    <col min="17" max="16384" width="8.88671875" style="3" hidden="1"/>
  </cols>
  <sheetData>
    <row r="1" spans="2:15" x14ac:dyDescent="0.25"/>
    <row r="2" spans="2:15" x14ac:dyDescent="0.25">
      <c r="B2" s="1" t="s">
        <v>46</v>
      </c>
      <c r="C2" s="2"/>
      <c r="D2" s="2"/>
      <c r="E2" s="2"/>
      <c r="F2" s="2"/>
      <c r="G2" s="2"/>
      <c r="H2" s="2"/>
      <c r="I2" s="2"/>
      <c r="J2" s="2"/>
      <c r="K2" s="2"/>
      <c r="L2" s="2"/>
      <c r="M2" s="2"/>
      <c r="N2" s="2"/>
      <c r="O2" s="30" t="s">
        <v>35</v>
      </c>
    </row>
    <row r="3" spans="2:15" x14ac:dyDescent="0.25">
      <c r="B3" s="4" t="s">
        <v>47</v>
      </c>
      <c r="C3" s="4"/>
      <c r="D3" s="4"/>
      <c r="E3" s="4"/>
      <c r="F3" s="4"/>
      <c r="G3" s="4"/>
      <c r="H3" s="4"/>
      <c r="I3" s="23" t="s">
        <v>52</v>
      </c>
      <c r="J3" s="4"/>
      <c r="K3" s="4"/>
      <c r="L3" s="4"/>
      <c r="M3" s="4"/>
      <c r="N3" s="4"/>
      <c r="O3" s="4"/>
    </row>
    <row r="4" spans="2:15" x14ac:dyDescent="0.25">
      <c r="B4" s="3" t="s">
        <v>49</v>
      </c>
      <c r="G4" s="8" t="s">
        <v>54</v>
      </c>
      <c r="H4" s="8" t="s">
        <v>53</v>
      </c>
    </row>
    <row r="5" spans="2:15" x14ac:dyDescent="0.25">
      <c r="B5" s="3" t="s">
        <v>50</v>
      </c>
    </row>
    <row r="6" spans="2:15" x14ac:dyDescent="0.25">
      <c r="B6" s="24" t="s">
        <v>55</v>
      </c>
      <c r="G6" s="31">
        <f>H6/GLA</f>
        <v>37.240085473547758</v>
      </c>
      <c r="H6" s="37">
        <f>'Summary and Assumptions'!K17</f>
        <v>14708940</v>
      </c>
      <c r="I6" s="58" t="s">
        <v>67</v>
      </c>
      <c r="J6" s="59"/>
      <c r="K6" s="59"/>
      <c r="L6" s="59"/>
      <c r="M6" s="59"/>
      <c r="N6" s="59"/>
      <c r="O6" s="59"/>
    </row>
    <row r="7" spans="2:15" ht="15.6" x14ac:dyDescent="0.4">
      <c r="B7" s="24" t="s">
        <v>48</v>
      </c>
      <c r="F7" s="46">
        <f>'Summary and Assumptions'!O16</f>
        <v>0.02</v>
      </c>
      <c r="G7" s="38">
        <f>H7/GLA</f>
        <v>-0.74480170947095514</v>
      </c>
      <c r="H7" s="19">
        <f>-F7*H6</f>
        <v>-294178.8</v>
      </c>
      <c r="I7" s="58" t="s">
        <v>92</v>
      </c>
      <c r="J7" s="59"/>
      <c r="K7" s="59"/>
      <c r="L7" s="59"/>
      <c r="M7" s="59"/>
      <c r="N7" s="59"/>
      <c r="O7" s="59"/>
    </row>
    <row r="8" spans="2:15" x14ac:dyDescent="0.25">
      <c r="B8" s="3" t="s">
        <v>51</v>
      </c>
      <c r="G8" s="31">
        <f>SUM(G6:G7)</f>
        <v>36.495283764076802</v>
      </c>
      <c r="H8" s="40">
        <f>SUM(H6:H7)</f>
        <v>14414761.199999999</v>
      </c>
      <c r="I8" s="59"/>
      <c r="J8" s="59"/>
      <c r="K8" s="59"/>
      <c r="L8" s="59"/>
      <c r="M8" s="59"/>
      <c r="N8" s="59"/>
      <c r="O8" s="59"/>
    </row>
    <row r="9" spans="2:15" x14ac:dyDescent="0.25">
      <c r="I9" s="59"/>
      <c r="J9" s="59"/>
      <c r="K9" s="59"/>
      <c r="L9" s="59"/>
      <c r="M9" s="59"/>
      <c r="N9" s="59"/>
      <c r="O9" s="59"/>
    </row>
    <row r="10" spans="2:15" x14ac:dyDescent="0.25">
      <c r="B10" s="3" t="s">
        <v>56</v>
      </c>
      <c r="D10" s="9" t="s">
        <v>59</v>
      </c>
      <c r="E10" s="9" t="s">
        <v>60</v>
      </c>
      <c r="F10" s="9" t="s">
        <v>61</v>
      </c>
      <c r="I10" s="59"/>
      <c r="J10" s="59"/>
      <c r="K10" s="59"/>
      <c r="L10" s="59"/>
      <c r="M10" s="59"/>
      <c r="N10" s="59"/>
      <c r="O10" s="59"/>
    </row>
    <row r="11" spans="2:15" ht="15.6" customHeight="1" x14ac:dyDescent="0.4">
      <c r="B11" s="24" t="s">
        <v>57</v>
      </c>
      <c r="D11" s="43">
        <v>80</v>
      </c>
      <c r="E11" s="42">
        <v>225</v>
      </c>
      <c r="F11" s="41">
        <v>0.6</v>
      </c>
      <c r="G11" s="38">
        <f>H11/GLA</f>
        <v>0.32812120230089931</v>
      </c>
      <c r="H11" s="19">
        <f>(E11*12)*(D11*F11)</f>
        <v>129600</v>
      </c>
      <c r="I11" s="110" t="s">
        <v>62</v>
      </c>
      <c r="J11" s="110"/>
      <c r="K11" s="110"/>
      <c r="L11" s="110"/>
      <c r="M11" s="110"/>
      <c r="N11" s="110"/>
      <c r="O11" s="110"/>
    </row>
    <row r="12" spans="2:15" x14ac:dyDescent="0.25">
      <c r="B12" s="3" t="s">
        <v>58</v>
      </c>
      <c r="G12" s="31">
        <f>SUM(G11)</f>
        <v>0.32812120230089931</v>
      </c>
      <c r="H12" s="17">
        <f>SUM(H11)</f>
        <v>129600</v>
      </c>
      <c r="I12" s="110"/>
      <c r="J12" s="110"/>
      <c r="K12" s="110"/>
      <c r="L12" s="110"/>
      <c r="M12" s="110"/>
      <c r="N12" s="110"/>
      <c r="O12" s="110"/>
    </row>
    <row r="13" spans="2:15" x14ac:dyDescent="0.25">
      <c r="H13" s="17"/>
      <c r="I13" s="60"/>
      <c r="J13" s="60"/>
      <c r="K13" s="60"/>
      <c r="L13" s="60"/>
      <c r="M13" s="60"/>
      <c r="N13" s="60"/>
      <c r="O13" s="60"/>
    </row>
    <row r="14" spans="2:15" x14ac:dyDescent="0.25">
      <c r="B14" s="3" t="s">
        <v>63</v>
      </c>
      <c r="H14" s="17"/>
      <c r="I14" s="59"/>
      <c r="J14" s="59"/>
      <c r="K14" s="59"/>
      <c r="L14" s="59"/>
      <c r="M14" s="59"/>
      <c r="N14" s="59"/>
      <c r="O14" s="59"/>
    </row>
    <row r="15" spans="2:15" x14ac:dyDescent="0.25">
      <c r="B15" s="24" t="s">
        <v>64</v>
      </c>
      <c r="G15" s="31">
        <f>H15/GLA</f>
        <v>36.823404966377701</v>
      </c>
      <c r="H15" s="17">
        <f>H8+H12</f>
        <v>14544361.199999999</v>
      </c>
      <c r="I15" s="59"/>
      <c r="J15" s="59"/>
      <c r="K15" s="59"/>
      <c r="L15" s="59"/>
      <c r="M15" s="59"/>
      <c r="N15" s="59"/>
      <c r="O15" s="59"/>
    </row>
    <row r="16" spans="2:15" ht="15.6" x14ac:dyDescent="0.4">
      <c r="B16" s="24" t="s">
        <v>65</v>
      </c>
      <c r="D16" s="44"/>
      <c r="F16" s="46">
        <f>'Summary and Assumptions'!O14</f>
        <v>0.04</v>
      </c>
      <c r="G16" s="38">
        <f>H16/GLA</f>
        <v>-1.4729361986551082</v>
      </c>
      <c r="H16" s="19">
        <f>-F16*H15</f>
        <v>-581774.44799999997</v>
      </c>
      <c r="I16" s="110" t="s">
        <v>97</v>
      </c>
      <c r="J16" s="110"/>
      <c r="K16" s="110"/>
      <c r="L16" s="110"/>
      <c r="M16" s="110"/>
      <c r="N16" s="110"/>
      <c r="O16" s="110"/>
    </row>
    <row r="17" spans="2:15" x14ac:dyDescent="0.25">
      <c r="B17" s="3" t="s">
        <v>66</v>
      </c>
      <c r="G17" s="31">
        <f>SUM(G15:G16)</f>
        <v>35.350468767722596</v>
      </c>
      <c r="H17" s="17">
        <f>SUM(H15:H16)</f>
        <v>13962586.751999998</v>
      </c>
      <c r="I17" s="110"/>
      <c r="J17" s="110"/>
      <c r="K17" s="110"/>
      <c r="L17" s="110"/>
      <c r="M17" s="110"/>
      <c r="N17" s="110"/>
      <c r="O17" s="110"/>
    </row>
    <row r="18" spans="2:15" x14ac:dyDescent="0.25">
      <c r="I18" s="59"/>
      <c r="J18" s="59"/>
      <c r="K18" s="59"/>
      <c r="L18" s="59"/>
      <c r="M18" s="59"/>
      <c r="N18" s="59"/>
      <c r="O18" s="59"/>
    </row>
    <row r="19" spans="2:15" x14ac:dyDescent="0.25">
      <c r="B19" s="3" t="s">
        <v>68</v>
      </c>
      <c r="I19" s="59"/>
      <c r="J19" s="59"/>
      <c r="K19" s="59"/>
      <c r="L19" s="59"/>
      <c r="M19" s="59"/>
      <c r="N19" s="59"/>
      <c r="O19" s="59"/>
    </row>
    <row r="20" spans="2:15" x14ac:dyDescent="0.25">
      <c r="B20" s="3" t="s">
        <v>99</v>
      </c>
      <c r="F20" s="9" t="s">
        <v>86</v>
      </c>
      <c r="I20" s="59"/>
      <c r="J20" s="59"/>
      <c r="K20" s="59"/>
      <c r="L20" s="59"/>
      <c r="M20" s="59"/>
      <c r="N20" s="59"/>
      <c r="O20" s="59"/>
    </row>
    <row r="21" spans="2:15" x14ac:dyDescent="0.25">
      <c r="B21" s="24" t="s">
        <v>70</v>
      </c>
      <c r="F21" s="46">
        <f>'Summary and Assumptions'!O21</f>
        <v>0.03</v>
      </c>
      <c r="G21" s="31">
        <f t="shared" ref="G21:G28" si="0">H21/GLA</f>
        <v>1.0948585129223041</v>
      </c>
      <c r="H21" s="17">
        <f>F21*$H$8</f>
        <v>432442.83599999995</v>
      </c>
      <c r="I21" s="58" t="s">
        <v>90</v>
      </c>
      <c r="J21" s="59"/>
      <c r="K21" s="59"/>
      <c r="L21" s="59"/>
      <c r="M21" s="59"/>
      <c r="N21" s="59"/>
      <c r="O21" s="59"/>
    </row>
    <row r="22" spans="2:15" x14ac:dyDescent="0.25">
      <c r="B22" s="24" t="s">
        <v>71</v>
      </c>
      <c r="F22" s="46">
        <f>'Summary and Assumptions'!O22</f>
        <v>6.25E-2</v>
      </c>
      <c r="G22" s="31">
        <f t="shared" si="0"/>
        <v>2.2809552352548002</v>
      </c>
      <c r="H22" s="17">
        <f t="shared" ref="H22:H26" si="1">F22*$H$8</f>
        <v>900922.57499999995</v>
      </c>
      <c r="I22" s="58" t="s">
        <v>89</v>
      </c>
      <c r="J22" s="59"/>
      <c r="K22" s="59"/>
      <c r="L22" s="59"/>
      <c r="M22" s="59"/>
      <c r="N22" s="59"/>
      <c r="O22" s="59"/>
    </row>
    <row r="23" spans="2:15" x14ac:dyDescent="0.25">
      <c r="B23" s="24" t="s">
        <v>72</v>
      </c>
      <c r="F23" s="46">
        <f>'Summary and Assumptions'!O23</f>
        <v>3.7499999999999999E-2</v>
      </c>
      <c r="G23" s="31">
        <f t="shared" si="0"/>
        <v>1.3685731411528801</v>
      </c>
      <c r="H23" s="17">
        <f t="shared" si="1"/>
        <v>540553.54499999993</v>
      </c>
      <c r="I23" s="59"/>
      <c r="J23" s="59"/>
      <c r="K23" s="59"/>
      <c r="L23" s="59"/>
      <c r="M23" s="59"/>
      <c r="N23" s="59"/>
      <c r="O23" s="59"/>
    </row>
    <row r="24" spans="2:15" x14ac:dyDescent="0.25">
      <c r="B24" s="24" t="s">
        <v>73</v>
      </c>
      <c r="F24" s="46">
        <f>'Summary and Assumptions'!O24</f>
        <v>3.7499999999999999E-2</v>
      </c>
      <c r="G24" s="31">
        <f t="shared" si="0"/>
        <v>1.3685731411528801</v>
      </c>
      <c r="H24" s="17">
        <f t="shared" si="1"/>
        <v>540553.54499999993</v>
      </c>
      <c r="I24" s="58" t="s">
        <v>93</v>
      </c>
      <c r="J24" s="59"/>
      <c r="K24" s="59"/>
      <c r="L24" s="59"/>
      <c r="M24" s="59"/>
      <c r="N24" s="59"/>
      <c r="O24" s="59"/>
    </row>
    <row r="25" spans="2:15" x14ac:dyDescent="0.25">
      <c r="B25" s="24" t="s">
        <v>74</v>
      </c>
      <c r="F25" s="46">
        <f>'Summary and Assumptions'!O25</f>
        <v>0.02</v>
      </c>
      <c r="G25" s="31">
        <f t="shared" si="0"/>
        <v>0.72990567528153605</v>
      </c>
      <c r="H25" s="17">
        <f t="shared" si="1"/>
        <v>288295.22399999999</v>
      </c>
      <c r="I25" s="58" t="s">
        <v>94</v>
      </c>
      <c r="J25" s="59"/>
      <c r="K25" s="59"/>
      <c r="L25" s="59"/>
      <c r="M25" s="59"/>
      <c r="N25" s="59"/>
      <c r="O25" s="59"/>
    </row>
    <row r="26" spans="2:15" x14ac:dyDescent="0.25">
      <c r="B26" s="24" t="s">
        <v>76</v>
      </c>
      <c r="F26" s="46">
        <f>'Summary and Assumptions'!O26</f>
        <v>4.2500000000000003E-2</v>
      </c>
      <c r="G26" s="31">
        <f t="shared" si="0"/>
        <v>1.5510495599732643</v>
      </c>
      <c r="H26" s="17">
        <f t="shared" si="1"/>
        <v>612627.35100000002</v>
      </c>
      <c r="I26" s="58" t="s">
        <v>95</v>
      </c>
      <c r="J26" s="59"/>
      <c r="K26" s="59"/>
      <c r="L26" s="59"/>
      <c r="M26" s="59"/>
      <c r="N26" s="59"/>
      <c r="O26" s="59"/>
    </row>
    <row r="27" spans="2:15" x14ac:dyDescent="0.25">
      <c r="B27" s="24" t="s">
        <v>75</v>
      </c>
      <c r="F27" s="46">
        <f>'Summary and Assumptions'!O27</f>
        <v>0.02</v>
      </c>
      <c r="G27" s="31">
        <f t="shared" si="0"/>
        <v>0.72990567528153605</v>
      </c>
      <c r="H27" s="17">
        <f t="shared" ref="H27" si="2">F27*$H$8</f>
        <v>288295.22399999999</v>
      </c>
      <c r="I27" s="58" t="s">
        <v>96</v>
      </c>
      <c r="J27" s="59"/>
      <c r="K27" s="59"/>
      <c r="L27" s="59"/>
      <c r="M27" s="59"/>
      <c r="N27" s="59"/>
      <c r="O27" s="59"/>
    </row>
    <row r="28" spans="2:15" ht="15.6" x14ac:dyDescent="0.4">
      <c r="B28" s="24" t="s">
        <v>116</v>
      </c>
      <c r="G28" s="38">
        <f t="shared" si="0"/>
        <v>9.3089200356477358E-2</v>
      </c>
      <c r="H28" s="39">
        <f>'Summary and Assumptions'!O33</f>
        <v>36768</v>
      </c>
      <c r="I28" s="58" t="s">
        <v>91</v>
      </c>
      <c r="J28" s="59"/>
      <c r="K28" s="59"/>
      <c r="L28" s="59"/>
      <c r="M28" s="59"/>
      <c r="N28" s="59"/>
      <c r="O28" s="59"/>
    </row>
    <row r="29" spans="2:15" x14ac:dyDescent="0.25">
      <c r="B29" s="3" t="s">
        <v>87</v>
      </c>
      <c r="G29" s="31">
        <f>SUM(G21:G28)</f>
        <v>9.2169101413756778</v>
      </c>
      <c r="H29" s="17">
        <f>SUM(H21:H28)</f>
        <v>3640458.2999999993</v>
      </c>
    </row>
    <row r="30" spans="2:15" x14ac:dyDescent="0.25"/>
    <row r="31" spans="2:15" x14ac:dyDescent="0.25">
      <c r="B31" s="70" t="s">
        <v>85</v>
      </c>
      <c r="C31" s="70"/>
      <c r="D31" s="70"/>
      <c r="E31" s="70"/>
      <c r="F31" s="70"/>
      <c r="G31" s="72">
        <f>H31/GLA</f>
        <v>26.133558626346915</v>
      </c>
      <c r="H31" s="71">
        <f>H17-H29</f>
        <v>10322128.452</v>
      </c>
    </row>
    <row r="32" spans="2:15" x14ac:dyDescent="0.25">
      <c r="F32" s="9" t="s">
        <v>86</v>
      </c>
    </row>
    <row r="33" spans="2:15" x14ac:dyDescent="0.25">
      <c r="B33" s="3" t="s">
        <v>88</v>
      </c>
      <c r="F33" s="45">
        <v>0.02</v>
      </c>
      <c r="G33" s="31">
        <f>H33/GLA</f>
        <v>0.72990567528153605</v>
      </c>
      <c r="H33" s="17">
        <f>F33*H8</f>
        <v>288295.22399999999</v>
      </c>
      <c r="I33" s="109" t="s">
        <v>98</v>
      </c>
      <c r="J33" s="109"/>
      <c r="K33" s="109"/>
      <c r="L33" s="109"/>
      <c r="M33" s="109"/>
      <c r="N33" s="109"/>
      <c r="O33" s="109"/>
    </row>
    <row r="34" spans="2:15" x14ac:dyDescent="0.25">
      <c r="I34" s="109"/>
      <c r="J34" s="109"/>
      <c r="K34" s="109"/>
      <c r="L34" s="109"/>
      <c r="M34" s="109"/>
      <c r="N34" s="109"/>
      <c r="O34" s="109"/>
    </row>
    <row r="35" spans="2:15" x14ac:dyDescent="0.25">
      <c r="B35" s="3" t="s">
        <v>126</v>
      </c>
      <c r="G35" s="31">
        <f>H35/GLA</f>
        <v>25.403652951065382</v>
      </c>
      <c r="H35" s="17">
        <f>H31-H33</f>
        <v>10033833.228</v>
      </c>
    </row>
    <row r="36" spans="2:15" x14ac:dyDescent="0.25"/>
    <row r="37" spans="2:15" x14ac:dyDescent="0.25">
      <c r="B37" s="4" t="s">
        <v>100</v>
      </c>
      <c r="C37" s="4"/>
      <c r="D37" s="4"/>
      <c r="E37" s="4"/>
      <c r="F37" s="4"/>
      <c r="G37" s="4"/>
      <c r="H37" s="4"/>
      <c r="I37" s="4"/>
      <c r="J37" s="4"/>
      <c r="K37" s="4"/>
      <c r="L37" s="4"/>
      <c r="M37" s="4"/>
      <c r="N37" s="4"/>
      <c r="O37" s="4"/>
    </row>
    <row r="38" spans="2:15" x14ac:dyDescent="0.25">
      <c r="B38" s="3" t="s">
        <v>107</v>
      </c>
      <c r="E38" s="9"/>
      <c r="F38" s="9"/>
      <c r="H38" s="46">
        <f>'Summary and Assumptions'!E23</f>
        <v>4.2500000000000003E-2</v>
      </c>
    </row>
    <row r="39" spans="2:15" x14ac:dyDescent="0.25">
      <c r="B39" s="3" t="s">
        <v>101</v>
      </c>
      <c r="E39" s="46"/>
      <c r="F39" s="46"/>
      <c r="G39" s="31"/>
      <c r="H39" s="17">
        <f>H42/(1+SUM(F40:F41))</f>
        <v>225928940.12585497</v>
      </c>
    </row>
    <row r="40" spans="2:15" x14ac:dyDescent="0.25">
      <c r="B40" s="24" t="s">
        <v>108</v>
      </c>
      <c r="F40" s="46">
        <f>'Summary and Assumptions'!E24</f>
        <v>0.05</v>
      </c>
      <c r="G40" s="31"/>
      <c r="H40" s="17">
        <f>F40*H39</f>
        <v>11296447.006292749</v>
      </c>
    </row>
    <row r="41" spans="2:15" ht="15.6" x14ac:dyDescent="0.4">
      <c r="B41" s="24" t="s">
        <v>109</v>
      </c>
      <c r="F41" s="46">
        <f>'Summary and Assumptions'!E25</f>
        <v>2.5000000000000001E-2</v>
      </c>
      <c r="G41" s="31"/>
      <c r="H41" s="19">
        <f>H39*F41</f>
        <v>5648223.5031463746</v>
      </c>
    </row>
    <row r="42" spans="2:15" x14ac:dyDescent="0.25">
      <c r="B42" s="3" t="s">
        <v>110</v>
      </c>
      <c r="H42" s="18">
        <v>242873610.63529408</v>
      </c>
      <c r="I42" s="88" t="s">
        <v>155</v>
      </c>
    </row>
    <row r="43" spans="2:15" x14ac:dyDescent="0.25"/>
  </sheetData>
  <mergeCells count="3">
    <mergeCell ref="I33:O34"/>
    <mergeCell ref="I11:O12"/>
    <mergeCell ref="I16:O17"/>
  </mergeCells>
  <pageMargins left="0.7" right="0.7" top="0.75" bottom="0.75" header="0.3" footer="0.3"/>
  <pageSetup paperSize="9" scale="66"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3324-BCF3-4297-A87D-169CC06560B3}">
  <sheetPr>
    <pageSetUpPr autoPageBreaks="0"/>
  </sheetPr>
  <dimension ref="A1:X39"/>
  <sheetViews>
    <sheetView showGridLines="0" topLeftCell="A12" zoomScaleNormal="100" workbookViewId="0">
      <selection activeCell="E35" sqref="E35"/>
    </sheetView>
  </sheetViews>
  <sheetFormatPr defaultColWidth="0" defaultRowHeight="13.8" zeroHeight="1" x14ac:dyDescent="0.25"/>
  <cols>
    <col min="1" max="1" width="1.77734375" style="3" customWidth="1"/>
    <col min="2" max="3" width="8.88671875" style="3" customWidth="1"/>
    <col min="4" max="4" width="9.88671875" style="3" customWidth="1"/>
    <col min="5" max="5" width="8.88671875" style="3" customWidth="1"/>
    <col min="6" max="6" width="15.5546875" style="3" bestFit="1" customWidth="1"/>
    <col min="7" max="17" width="13.33203125" style="3" customWidth="1"/>
    <col min="18" max="23" width="8.88671875" style="3" customWidth="1"/>
    <col min="24" max="24" width="1.77734375" style="3" customWidth="1"/>
    <col min="25" max="16384" width="8.88671875" style="3" hidden="1"/>
  </cols>
  <sheetData>
    <row r="1" spans="2:23" x14ac:dyDescent="0.25"/>
    <row r="2" spans="2:23" x14ac:dyDescent="0.25">
      <c r="B2" s="1" t="str">
        <f>'Summary and Assumptions'!E20&amp;"-Year Operating Statement"</f>
        <v>10-Year Operating Statement</v>
      </c>
      <c r="C2" s="2"/>
      <c r="D2" s="2"/>
      <c r="E2" s="2"/>
      <c r="F2" s="2"/>
      <c r="G2" s="2"/>
      <c r="H2" s="2"/>
      <c r="I2" s="2"/>
      <c r="J2" s="2"/>
      <c r="K2" s="2"/>
      <c r="L2" s="2"/>
      <c r="M2" s="2"/>
      <c r="N2" s="2"/>
      <c r="O2" s="2"/>
      <c r="P2" s="2"/>
      <c r="Q2" s="2"/>
      <c r="R2" s="2"/>
      <c r="S2" s="2"/>
      <c r="T2" s="2"/>
      <c r="U2" s="2"/>
      <c r="V2" s="2"/>
      <c r="W2" s="30" t="s">
        <v>35</v>
      </c>
    </row>
    <row r="3" spans="2:23" x14ac:dyDescent="0.25">
      <c r="B3" s="4" t="s">
        <v>117</v>
      </c>
      <c r="C3" s="4"/>
      <c r="D3" s="4"/>
      <c r="E3" s="4"/>
      <c r="F3" s="4"/>
      <c r="G3" s="4"/>
      <c r="H3" s="4"/>
      <c r="I3" s="4"/>
      <c r="J3" s="4"/>
      <c r="K3" s="4"/>
      <c r="L3" s="4"/>
      <c r="M3" s="4"/>
      <c r="N3" s="4"/>
      <c r="O3" s="4"/>
      <c r="P3" s="4"/>
      <c r="Q3" s="4"/>
      <c r="R3" s="23" t="s">
        <v>52</v>
      </c>
      <c r="S3" s="4"/>
      <c r="T3" s="4"/>
      <c r="U3" s="4"/>
      <c r="V3" s="4"/>
      <c r="W3" s="4"/>
    </row>
    <row r="4" spans="2:23" x14ac:dyDescent="0.25">
      <c r="B4" s="24"/>
      <c r="F4" s="8" t="s">
        <v>118</v>
      </c>
      <c r="G4" s="3">
        <v>1</v>
      </c>
      <c r="H4" s="3">
        <f>1+G4</f>
        <v>2</v>
      </c>
      <c r="I4" s="3">
        <f t="shared" ref="I4:Q4" si="0">1+H4</f>
        <v>3</v>
      </c>
      <c r="J4" s="3">
        <f t="shared" si="0"/>
        <v>4</v>
      </c>
      <c r="K4" s="3">
        <f t="shared" si="0"/>
        <v>5</v>
      </c>
      <c r="L4" s="3">
        <f t="shared" si="0"/>
        <v>6</v>
      </c>
      <c r="M4" s="3">
        <f t="shared" si="0"/>
        <v>7</v>
      </c>
      <c r="N4" s="3">
        <f t="shared" si="0"/>
        <v>8</v>
      </c>
      <c r="O4" s="3">
        <f t="shared" si="0"/>
        <v>9</v>
      </c>
      <c r="P4" s="3">
        <f t="shared" si="0"/>
        <v>10</v>
      </c>
      <c r="Q4" s="3">
        <f t="shared" si="0"/>
        <v>11</v>
      </c>
    </row>
    <row r="5" spans="2:23" x14ac:dyDescent="0.25">
      <c r="B5" s="24"/>
      <c r="F5" s="8" t="s">
        <v>119</v>
      </c>
      <c r="G5" s="65">
        <f>EOMONTH('Summary and Assumptions'!E19,11)</f>
        <v>46630</v>
      </c>
      <c r="H5" s="65">
        <f>EOMONTH(G5,12)</f>
        <v>46996</v>
      </c>
      <c r="I5" s="65">
        <f t="shared" ref="I5:Q5" si="1">EOMONTH(H5,12)</f>
        <v>47361</v>
      </c>
      <c r="J5" s="65">
        <f t="shared" si="1"/>
        <v>47726</v>
      </c>
      <c r="K5" s="65">
        <f t="shared" si="1"/>
        <v>48091</v>
      </c>
      <c r="L5" s="65">
        <f t="shared" si="1"/>
        <v>48457</v>
      </c>
      <c r="M5" s="65">
        <f t="shared" si="1"/>
        <v>48822</v>
      </c>
      <c r="N5" s="65">
        <f t="shared" si="1"/>
        <v>49187</v>
      </c>
      <c r="O5" s="65">
        <f t="shared" si="1"/>
        <v>49552</v>
      </c>
      <c r="P5" s="65">
        <f t="shared" si="1"/>
        <v>49918</v>
      </c>
      <c r="Q5" s="65">
        <f t="shared" si="1"/>
        <v>50283</v>
      </c>
    </row>
    <row r="6" spans="2:23" x14ac:dyDescent="0.25">
      <c r="B6" s="3" t="s">
        <v>49</v>
      </c>
    </row>
    <row r="7" spans="2:23" ht="13.8" customHeight="1" x14ac:dyDescent="0.25">
      <c r="B7" s="3" t="s">
        <v>50</v>
      </c>
      <c r="E7" s="17"/>
      <c r="F7" s="67" t="s">
        <v>122</v>
      </c>
      <c r="G7" s="67" t="s">
        <v>121</v>
      </c>
      <c r="H7" s="69">
        <f>INDEX('Summary and Assumptions'!$O$12:$O$13,MATCH('Operating Statement'!H4,'Summary and Assumptions'!$L$12:$L$13,1))</f>
        <v>3.7499999999999999E-2</v>
      </c>
      <c r="I7" s="69">
        <f>INDEX('Summary and Assumptions'!$O$12:$O$13,MATCH('Operating Statement'!I4,'Summary and Assumptions'!$L$12:$L$13,1))</f>
        <v>3.7499999999999999E-2</v>
      </c>
      <c r="J7" s="69">
        <f>INDEX('Summary and Assumptions'!$O$12:$O$13,MATCH('Operating Statement'!J4,'Summary and Assumptions'!$L$12:$L$13,1))</f>
        <v>0.03</v>
      </c>
      <c r="K7" s="69">
        <f>INDEX('Summary and Assumptions'!$O$12:$O$13,MATCH('Operating Statement'!K4,'Summary and Assumptions'!$L$12:$L$13,1))</f>
        <v>0.03</v>
      </c>
      <c r="L7" s="69">
        <f>INDEX('Summary and Assumptions'!$O$12:$O$13,MATCH('Operating Statement'!L4,'Summary and Assumptions'!$L$12:$L$13,1))</f>
        <v>0.03</v>
      </c>
      <c r="M7" s="69">
        <f>INDEX('Summary and Assumptions'!$O$12:$O$13,MATCH('Operating Statement'!M4,'Summary and Assumptions'!$L$12:$L$13,1))</f>
        <v>0.03</v>
      </c>
      <c r="N7" s="69">
        <f>INDEX('Summary and Assumptions'!$O$12:$O$13,MATCH('Operating Statement'!N4,'Summary and Assumptions'!$L$12:$L$13,1))</f>
        <v>0.03</v>
      </c>
      <c r="O7" s="69">
        <f>INDEX('Summary and Assumptions'!$O$12:$O$13,MATCH('Operating Statement'!O4,'Summary and Assumptions'!$L$12:$L$13,1))</f>
        <v>0.03</v>
      </c>
      <c r="P7" s="69">
        <f>INDEX('Summary and Assumptions'!$O$12:$O$13,MATCH('Operating Statement'!P4,'Summary and Assumptions'!$L$12:$L$13,1))</f>
        <v>0.03</v>
      </c>
      <c r="Q7" s="69">
        <f>INDEX('Summary and Assumptions'!$O$12:$O$13,MATCH('Operating Statement'!Q4,'Summary and Assumptions'!$L$12:$L$13,1))</f>
        <v>0.03</v>
      </c>
      <c r="R7" s="110" t="s">
        <v>141</v>
      </c>
      <c r="S7" s="110"/>
      <c r="T7" s="110"/>
      <c r="U7" s="110"/>
      <c r="V7" s="110"/>
      <c r="W7" s="110"/>
    </row>
    <row r="8" spans="2:23" x14ac:dyDescent="0.25">
      <c r="B8" s="24" t="s">
        <v>55</v>
      </c>
      <c r="E8" s="46"/>
      <c r="F8" s="17"/>
      <c r="G8" s="37">
        <f>Acquisition!H6</f>
        <v>14708940</v>
      </c>
      <c r="H8" s="17">
        <f>G8*(1+H$7)</f>
        <v>15260525.250000002</v>
      </c>
      <c r="I8" s="17">
        <f>H8*(1+I$7)</f>
        <v>15832794.946875004</v>
      </c>
      <c r="J8" s="17">
        <f>I8*(1+J$7)</f>
        <v>16307778.795281254</v>
      </c>
      <c r="K8" s="17">
        <f>J8*(1+K$7)</f>
        <v>16797012.159139693</v>
      </c>
      <c r="L8" s="17">
        <f t="shared" ref="L8:Q8" si="2">K8*(1+L$7)</f>
        <v>17300922.523913883</v>
      </c>
      <c r="M8" s="17">
        <f t="shared" si="2"/>
        <v>17819950.1996313</v>
      </c>
      <c r="N8" s="17">
        <f t="shared" si="2"/>
        <v>18354548.70562024</v>
      </c>
      <c r="O8" s="17">
        <f t="shared" si="2"/>
        <v>18905185.16678885</v>
      </c>
      <c r="P8" s="17">
        <f t="shared" si="2"/>
        <v>19472340.721792515</v>
      </c>
      <c r="Q8" s="17">
        <f t="shared" si="2"/>
        <v>20056510.94344629</v>
      </c>
      <c r="R8" s="110"/>
      <c r="S8" s="110"/>
      <c r="T8" s="110"/>
      <c r="U8" s="110"/>
      <c r="V8" s="110"/>
      <c r="W8" s="110"/>
    </row>
    <row r="9" spans="2:23" ht="15.6" x14ac:dyDescent="0.4">
      <c r="B9" s="24" t="s">
        <v>48</v>
      </c>
      <c r="E9" s="46">
        <f>'Summary and Assumptions'!O16</f>
        <v>0.02</v>
      </c>
      <c r="F9" s="17"/>
      <c r="G9" s="19">
        <f>-$E$9*G8</f>
        <v>-294178.8</v>
      </c>
      <c r="H9" s="19">
        <f>-$E$9*H8</f>
        <v>-305210.50500000006</v>
      </c>
      <c r="I9" s="19">
        <f t="shared" ref="I9:Q9" si="3">-$E$9*I8</f>
        <v>-316655.89893750008</v>
      </c>
      <c r="J9" s="19">
        <f t="shared" si="3"/>
        <v>-326155.57590562507</v>
      </c>
      <c r="K9" s="19">
        <f t="shared" si="3"/>
        <v>-335940.24318279384</v>
      </c>
      <c r="L9" s="19">
        <f t="shared" si="3"/>
        <v>-346018.45047827763</v>
      </c>
      <c r="M9" s="19">
        <f t="shared" si="3"/>
        <v>-356399.00399262598</v>
      </c>
      <c r="N9" s="19">
        <f t="shared" si="3"/>
        <v>-367090.9741124048</v>
      </c>
      <c r="O9" s="19">
        <f t="shared" si="3"/>
        <v>-378103.70333577698</v>
      </c>
      <c r="P9" s="19">
        <f t="shared" si="3"/>
        <v>-389446.81443585031</v>
      </c>
      <c r="Q9" s="19">
        <f t="shared" si="3"/>
        <v>-401130.21886892582</v>
      </c>
      <c r="R9" s="89"/>
      <c r="S9" s="89"/>
      <c r="T9" s="89"/>
      <c r="U9" s="89"/>
      <c r="V9" s="89"/>
      <c r="W9" s="89"/>
    </row>
    <row r="10" spans="2:23" x14ac:dyDescent="0.25">
      <c r="B10" s="3" t="s">
        <v>51</v>
      </c>
      <c r="E10" s="17"/>
      <c r="F10" s="17"/>
      <c r="G10" s="17">
        <f>SUM(G8:G9)</f>
        <v>14414761.199999999</v>
      </c>
      <c r="H10" s="17">
        <f>SUM(H8:H9)</f>
        <v>14955314.745000001</v>
      </c>
      <c r="I10" s="17">
        <f t="shared" ref="I10:Q10" si="4">SUM(I8:I9)</f>
        <v>15516139.047937505</v>
      </c>
      <c r="J10" s="17">
        <f t="shared" si="4"/>
        <v>15981623.219375629</v>
      </c>
      <c r="K10" s="17">
        <f t="shared" si="4"/>
        <v>16461071.9159569</v>
      </c>
      <c r="L10" s="17">
        <f t="shared" si="4"/>
        <v>16954904.073435605</v>
      </c>
      <c r="M10" s="17">
        <f t="shared" si="4"/>
        <v>17463551.195638675</v>
      </c>
      <c r="N10" s="17">
        <f t="shared" si="4"/>
        <v>17987457.731507834</v>
      </c>
      <c r="O10" s="17">
        <f t="shared" si="4"/>
        <v>18527081.463453073</v>
      </c>
      <c r="P10" s="17">
        <f t="shared" si="4"/>
        <v>19082893.907356665</v>
      </c>
      <c r="Q10" s="17">
        <f t="shared" si="4"/>
        <v>19655380.724577364</v>
      </c>
    </row>
    <row r="11" spans="2:23" x14ac:dyDescent="0.25">
      <c r="E11" s="17"/>
      <c r="F11" s="17"/>
      <c r="G11" s="17"/>
      <c r="H11" s="17"/>
      <c r="I11" s="17"/>
      <c r="J11" s="17"/>
      <c r="K11" s="17"/>
      <c r="L11" s="17"/>
      <c r="M11" s="17"/>
      <c r="N11" s="17"/>
      <c r="O11" s="17"/>
      <c r="P11" s="17"/>
      <c r="Q11" s="17"/>
    </row>
    <row r="12" spans="2:23" x14ac:dyDescent="0.25">
      <c r="B12" s="3" t="s">
        <v>56</v>
      </c>
      <c r="D12" s="9" t="s">
        <v>59</v>
      </c>
      <c r="E12" s="9" t="s">
        <v>60</v>
      </c>
      <c r="F12" s="9" t="s">
        <v>61</v>
      </c>
      <c r="G12" s="17"/>
      <c r="H12" s="17"/>
      <c r="I12" s="111"/>
      <c r="J12" s="17"/>
      <c r="K12" s="17"/>
      <c r="L12" s="17"/>
      <c r="M12" s="17"/>
      <c r="N12" s="17"/>
      <c r="O12" s="17"/>
      <c r="P12" s="17"/>
      <c r="Q12" s="17"/>
    </row>
    <row r="13" spans="2:23" ht="15.6" x14ac:dyDescent="0.4">
      <c r="B13" s="24" t="s">
        <v>57</v>
      </c>
      <c r="D13" s="43">
        <v>80</v>
      </c>
      <c r="E13" s="42">
        <v>225</v>
      </c>
      <c r="F13" s="41">
        <v>0.6</v>
      </c>
      <c r="G13" s="19">
        <f>(E13*12)*(D13*F13)</f>
        <v>129600</v>
      </c>
      <c r="H13" s="19">
        <f>G13*(1+'Summary and Assumptions'!$O$15)</f>
        <v>132192</v>
      </c>
      <c r="I13" s="19">
        <f>H13*(1+'Summary and Assumptions'!$O$15)</f>
        <v>134835.84</v>
      </c>
      <c r="J13" s="19">
        <f>I13*(1+'Summary and Assumptions'!$O$15)</f>
        <v>137532.55679999999</v>
      </c>
      <c r="K13" s="19">
        <f>J13*(1+'Summary and Assumptions'!$O$15)</f>
        <v>140283.20793599999</v>
      </c>
      <c r="L13" s="19">
        <f>K13*(1+'Summary and Assumptions'!$O$15)</f>
        <v>143088.87209471999</v>
      </c>
      <c r="M13" s="19">
        <f>L13*(1+'Summary and Assumptions'!$O$15)</f>
        <v>145950.64953661439</v>
      </c>
      <c r="N13" s="19">
        <f>M13*(1+'Summary and Assumptions'!$O$15)</f>
        <v>148869.66252734669</v>
      </c>
      <c r="O13" s="19">
        <f>N13*(1+'Summary and Assumptions'!$O$15)</f>
        <v>151847.05577789363</v>
      </c>
      <c r="P13" s="19">
        <f>O13*(1+'Summary and Assumptions'!$O$15)</f>
        <v>154883.99689345152</v>
      </c>
      <c r="Q13" s="19">
        <f>P13*(1+'Summary and Assumptions'!$O$15)</f>
        <v>157981.67683132054</v>
      </c>
    </row>
    <row r="14" spans="2:23" x14ac:dyDescent="0.25">
      <c r="B14" s="3" t="s">
        <v>58</v>
      </c>
      <c r="E14" s="17"/>
      <c r="F14" s="17"/>
      <c r="G14" s="17">
        <f>SUM(G13)</f>
        <v>129600</v>
      </c>
      <c r="H14" s="17">
        <f>SUM(H13)</f>
        <v>132192</v>
      </c>
      <c r="I14" s="17">
        <f t="shared" ref="I14:Q14" si="5">SUM(I13)</f>
        <v>134835.84</v>
      </c>
      <c r="J14" s="17">
        <f t="shared" si="5"/>
        <v>137532.55679999999</v>
      </c>
      <c r="K14" s="17">
        <f t="shared" si="5"/>
        <v>140283.20793599999</v>
      </c>
      <c r="L14" s="17">
        <f t="shared" si="5"/>
        <v>143088.87209471999</v>
      </c>
      <c r="M14" s="17">
        <f t="shared" si="5"/>
        <v>145950.64953661439</v>
      </c>
      <c r="N14" s="17">
        <f t="shared" si="5"/>
        <v>148869.66252734669</v>
      </c>
      <c r="O14" s="17">
        <f t="shared" si="5"/>
        <v>151847.05577789363</v>
      </c>
      <c r="P14" s="17">
        <f t="shared" si="5"/>
        <v>154883.99689345152</v>
      </c>
      <c r="Q14" s="17">
        <f t="shared" si="5"/>
        <v>157981.67683132054</v>
      </c>
    </row>
    <row r="15" spans="2:23" x14ac:dyDescent="0.25">
      <c r="E15" s="17"/>
      <c r="F15" s="17"/>
      <c r="G15" s="17"/>
      <c r="H15" s="17"/>
      <c r="I15" s="17"/>
      <c r="J15" s="17"/>
      <c r="K15" s="17"/>
      <c r="L15" s="17"/>
      <c r="M15" s="17"/>
      <c r="N15" s="17"/>
      <c r="O15" s="17"/>
      <c r="P15" s="17"/>
      <c r="Q15" s="17"/>
    </row>
    <row r="16" spans="2:23" x14ac:dyDescent="0.25">
      <c r="B16" s="3" t="s">
        <v>63</v>
      </c>
      <c r="E16" s="17"/>
      <c r="F16" s="17"/>
      <c r="G16" s="17"/>
      <c r="H16" s="17"/>
      <c r="I16" s="17"/>
      <c r="J16" s="17"/>
      <c r="K16" s="17"/>
      <c r="L16" s="17"/>
      <c r="M16" s="17"/>
      <c r="N16" s="17"/>
      <c r="O16" s="17"/>
      <c r="P16" s="17"/>
      <c r="Q16" s="17"/>
    </row>
    <row r="17" spans="2:17" x14ac:dyDescent="0.25">
      <c r="B17" s="24" t="s">
        <v>64</v>
      </c>
      <c r="E17" s="17"/>
      <c r="F17" s="17"/>
      <c r="G17" s="17">
        <f>G10+G14</f>
        <v>14544361.199999999</v>
      </c>
      <c r="H17" s="17">
        <f t="shared" ref="H17:Q17" si="6">H10+H14</f>
        <v>15087506.745000001</v>
      </c>
      <c r="I17" s="17">
        <f t="shared" si="6"/>
        <v>15650974.887937505</v>
      </c>
      <c r="J17" s="17">
        <f t="shared" si="6"/>
        <v>16119155.776175629</v>
      </c>
      <c r="K17" s="17">
        <f t="shared" si="6"/>
        <v>16601355.1238929</v>
      </c>
      <c r="L17" s="17">
        <f t="shared" si="6"/>
        <v>17097992.945530325</v>
      </c>
      <c r="M17" s="17">
        <f t="shared" si="6"/>
        <v>17609501.845175289</v>
      </c>
      <c r="N17" s="17">
        <f t="shared" si="6"/>
        <v>18136327.394035179</v>
      </c>
      <c r="O17" s="17">
        <f t="shared" si="6"/>
        <v>18678928.519230966</v>
      </c>
      <c r="P17" s="17">
        <f t="shared" si="6"/>
        <v>19237777.904250115</v>
      </c>
      <c r="Q17" s="17">
        <f t="shared" si="6"/>
        <v>19813362.401408684</v>
      </c>
    </row>
    <row r="18" spans="2:17" ht="15.6" x14ac:dyDescent="0.4">
      <c r="B18" s="24" t="s">
        <v>65</v>
      </c>
      <c r="E18" s="46">
        <f>'Summary and Assumptions'!O14</f>
        <v>0.04</v>
      </c>
      <c r="F18" s="17"/>
      <c r="G18" s="19">
        <f>-$E$18*G17</f>
        <v>-581774.44799999997</v>
      </c>
      <c r="H18" s="19">
        <f t="shared" ref="H18:Q18" si="7">-$E$18*H17</f>
        <v>-603500.26980000001</v>
      </c>
      <c r="I18" s="19">
        <f t="shared" si="7"/>
        <v>-626038.99551750021</v>
      </c>
      <c r="J18" s="19">
        <f t="shared" si="7"/>
        <v>-644766.23104702518</v>
      </c>
      <c r="K18" s="19">
        <f t="shared" si="7"/>
        <v>-664054.20495571604</v>
      </c>
      <c r="L18" s="19">
        <f t="shared" si="7"/>
        <v>-683919.71782121307</v>
      </c>
      <c r="M18" s="19">
        <f t="shared" si="7"/>
        <v>-704380.07380701159</v>
      </c>
      <c r="N18" s="19">
        <f t="shared" si="7"/>
        <v>-725453.09576140717</v>
      </c>
      <c r="O18" s="19">
        <f t="shared" si="7"/>
        <v>-747157.14076923858</v>
      </c>
      <c r="P18" s="19">
        <f t="shared" si="7"/>
        <v>-769511.11617000459</v>
      </c>
      <c r="Q18" s="19">
        <f t="shared" si="7"/>
        <v>-792534.49605634739</v>
      </c>
    </row>
    <row r="19" spans="2:17" x14ac:dyDescent="0.25">
      <c r="B19" s="3" t="s">
        <v>66</v>
      </c>
      <c r="E19" s="17"/>
      <c r="F19" s="17"/>
      <c r="G19" s="17">
        <f>SUM(G17:G18)</f>
        <v>13962586.751999998</v>
      </c>
      <c r="H19" s="17">
        <f t="shared" ref="H19:Q19" si="8">SUM(H17:H18)</f>
        <v>14484006.475200001</v>
      </c>
      <c r="I19" s="17">
        <f t="shared" si="8"/>
        <v>15024935.892420005</v>
      </c>
      <c r="J19" s="17">
        <f t="shared" si="8"/>
        <v>15474389.545128604</v>
      </c>
      <c r="K19" s="17">
        <f t="shared" si="8"/>
        <v>15937300.918937184</v>
      </c>
      <c r="L19" s="17">
        <f t="shared" si="8"/>
        <v>16414073.227709113</v>
      </c>
      <c r="M19" s="17">
        <f t="shared" si="8"/>
        <v>16905121.771368276</v>
      </c>
      <c r="N19" s="17">
        <f t="shared" si="8"/>
        <v>17410874.298273772</v>
      </c>
      <c r="O19" s="17">
        <f t="shared" si="8"/>
        <v>17931771.378461726</v>
      </c>
      <c r="P19" s="17">
        <f t="shared" si="8"/>
        <v>18468266.788080111</v>
      </c>
      <c r="Q19" s="17">
        <f t="shared" si="8"/>
        <v>19020827.905352335</v>
      </c>
    </row>
    <row r="20" spans="2:17" x14ac:dyDescent="0.25">
      <c r="E20" s="17"/>
      <c r="F20" s="17"/>
      <c r="G20" s="17"/>
      <c r="H20" s="17"/>
      <c r="I20" s="17"/>
      <c r="J20" s="17"/>
      <c r="K20" s="17"/>
      <c r="L20" s="17"/>
      <c r="M20" s="17"/>
      <c r="N20" s="17"/>
      <c r="O20" s="17"/>
      <c r="P20" s="17"/>
      <c r="Q20" s="17"/>
    </row>
    <row r="21" spans="2:17" x14ac:dyDescent="0.25">
      <c r="B21" s="3" t="s">
        <v>68</v>
      </c>
      <c r="E21" s="17"/>
      <c r="F21" s="17"/>
      <c r="G21" s="17"/>
      <c r="H21" s="17"/>
      <c r="I21" s="17"/>
      <c r="J21" s="17"/>
      <c r="K21" s="17"/>
      <c r="L21" s="17"/>
      <c r="M21" s="17"/>
      <c r="N21" s="17"/>
      <c r="O21" s="17"/>
      <c r="P21" s="17"/>
      <c r="Q21" s="17"/>
    </row>
    <row r="22" spans="2:17" x14ac:dyDescent="0.25">
      <c r="B22" s="3" t="s">
        <v>99</v>
      </c>
      <c r="E22" s="9" t="s">
        <v>86</v>
      </c>
      <c r="F22" s="67" t="s">
        <v>120</v>
      </c>
      <c r="G22" s="68" t="s">
        <v>121</v>
      </c>
      <c r="H22" s="69">
        <f>INDEX('Summary and Assumptions'!$O$36:$O$38,MATCH('Operating Statement'!H4,'Summary and Assumptions'!$M$36:$M$38,1))</f>
        <v>3.5000000000000003E-2</v>
      </c>
      <c r="I22" s="69">
        <f>INDEX('Summary and Assumptions'!$O$36:$O$38,MATCH('Operating Statement'!I4,'Summary and Assumptions'!$M$36:$M$38,1))</f>
        <v>3.5000000000000003E-2</v>
      </c>
      <c r="J22" s="69">
        <f>INDEX('Summary and Assumptions'!$O$36:$O$38,MATCH('Operating Statement'!J4,'Summary and Assumptions'!$M$36:$M$38,1))</f>
        <v>0.03</v>
      </c>
      <c r="K22" s="69">
        <f>INDEX('Summary and Assumptions'!$O$36:$O$38,MATCH('Operating Statement'!K4,'Summary and Assumptions'!$M$36:$M$38,1))</f>
        <v>0.03</v>
      </c>
      <c r="L22" s="69">
        <f>INDEX('Summary and Assumptions'!$O$36:$O$38,MATCH('Operating Statement'!L4,'Summary and Assumptions'!$M$36:$M$38,1))</f>
        <v>2.5000000000000001E-2</v>
      </c>
      <c r="M22" s="69">
        <f>INDEX('Summary and Assumptions'!$O$36:$O$38,MATCH('Operating Statement'!M4,'Summary and Assumptions'!$M$36:$M$38,1))</f>
        <v>2.5000000000000001E-2</v>
      </c>
      <c r="N22" s="69">
        <f>INDEX('Summary and Assumptions'!$O$36:$O$38,MATCH('Operating Statement'!N4,'Summary and Assumptions'!$M$36:$M$38,1))</f>
        <v>2.5000000000000001E-2</v>
      </c>
      <c r="O22" s="69">
        <f>INDEX('Summary and Assumptions'!$O$36:$O$38,MATCH('Operating Statement'!O4,'Summary and Assumptions'!$M$36:$M$38,1))</f>
        <v>2.5000000000000001E-2</v>
      </c>
      <c r="P22" s="69">
        <f>INDEX('Summary and Assumptions'!$O$36:$O$38,MATCH('Operating Statement'!P4,'Summary and Assumptions'!$M$36:$M$38,1))</f>
        <v>2.5000000000000001E-2</v>
      </c>
      <c r="Q22" s="69">
        <f>INDEX('Summary and Assumptions'!$O$36:$O$38,MATCH('Operating Statement'!Q4,'Summary and Assumptions'!$M$36:$M$38,1))</f>
        <v>2.5000000000000001E-2</v>
      </c>
    </row>
    <row r="23" spans="2:17" x14ac:dyDescent="0.25">
      <c r="B23" s="24" t="s">
        <v>70</v>
      </c>
      <c r="E23" s="46">
        <f>'Summary and Assumptions'!O21</f>
        <v>0.03</v>
      </c>
      <c r="F23" s="17"/>
      <c r="G23" s="17">
        <f>$E$23*G$10</f>
        <v>432442.83599999995</v>
      </c>
      <c r="H23" s="17">
        <f t="shared" ref="H23:Q23" si="9">$E$23*H$10</f>
        <v>448659.44235000003</v>
      </c>
      <c r="I23" s="17">
        <f t="shared" si="9"/>
        <v>465484.17143812514</v>
      </c>
      <c r="J23" s="17">
        <f t="shared" si="9"/>
        <v>479448.69658126886</v>
      </c>
      <c r="K23" s="17">
        <f t="shared" si="9"/>
        <v>493832.15747870697</v>
      </c>
      <c r="L23" s="17">
        <f t="shared" si="9"/>
        <v>508647.12220306811</v>
      </c>
      <c r="M23" s="17">
        <f t="shared" si="9"/>
        <v>523906.53586916026</v>
      </c>
      <c r="N23" s="17">
        <f t="shared" si="9"/>
        <v>539623.73194523505</v>
      </c>
      <c r="O23" s="17">
        <f t="shared" si="9"/>
        <v>555812.44390359218</v>
      </c>
      <c r="P23" s="17">
        <f t="shared" si="9"/>
        <v>572486.81722069986</v>
      </c>
      <c r="Q23" s="17">
        <f t="shared" si="9"/>
        <v>589661.42173732084</v>
      </c>
    </row>
    <row r="24" spans="2:17" x14ac:dyDescent="0.25">
      <c r="B24" s="24" t="s">
        <v>71</v>
      </c>
      <c r="E24" s="46">
        <f>'Summary and Assumptions'!O22</f>
        <v>6.25E-2</v>
      </c>
      <c r="F24" s="17"/>
      <c r="G24" s="17">
        <f t="shared" ref="G24:G29" si="10">E24*$G$10</f>
        <v>900922.57499999995</v>
      </c>
      <c r="H24" s="17">
        <f t="shared" ref="H24:I30" si="11">G24*(1+H$22)</f>
        <v>932454.86512499989</v>
      </c>
      <c r="I24" s="17">
        <f t="shared" si="11"/>
        <v>965090.78540437482</v>
      </c>
      <c r="J24" s="17">
        <f t="shared" ref="J24:Q24" si="12">I24*(1+J$22)</f>
        <v>994043.50896650611</v>
      </c>
      <c r="K24" s="17">
        <f t="shared" si="12"/>
        <v>1023864.8142355013</v>
      </c>
      <c r="L24" s="17">
        <f t="shared" si="12"/>
        <v>1049461.4345913888</v>
      </c>
      <c r="M24" s="17">
        <f t="shared" si="12"/>
        <v>1075697.9704561734</v>
      </c>
      <c r="N24" s="17">
        <f t="shared" si="12"/>
        <v>1102590.4197175778</v>
      </c>
      <c r="O24" s="17">
        <f t="shared" si="12"/>
        <v>1130155.180210517</v>
      </c>
      <c r="P24" s="17">
        <f t="shared" si="12"/>
        <v>1158409.0597157797</v>
      </c>
      <c r="Q24" s="17">
        <f t="shared" si="12"/>
        <v>1187369.2862086741</v>
      </c>
    </row>
    <row r="25" spans="2:17" x14ac:dyDescent="0.25">
      <c r="B25" s="24" t="s">
        <v>72</v>
      </c>
      <c r="E25" s="46">
        <f>'Summary and Assumptions'!O23</f>
        <v>3.7499999999999999E-2</v>
      </c>
      <c r="F25" s="17"/>
      <c r="G25" s="17">
        <f t="shared" si="10"/>
        <v>540553.54499999993</v>
      </c>
      <c r="H25" s="17">
        <f t="shared" si="11"/>
        <v>559472.91907499987</v>
      </c>
      <c r="I25" s="17">
        <f t="shared" si="11"/>
        <v>579054.4712426248</v>
      </c>
      <c r="J25" s="17">
        <f t="shared" ref="J25:Q25" si="13">I25*(1+J$22)</f>
        <v>596426.10537990357</v>
      </c>
      <c r="K25" s="17">
        <f t="shared" si="13"/>
        <v>614318.88854130066</v>
      </c>
      <c r="L25" s="17">
        <f t="shared" si="13"/>
        <v>629676.86075483309</v>
      </c>
      <c r="M25" s="17">
        <f t="shared" si="13"/>
        <v>645418.78227370384</v>
      </c>
      <c r="N25" s="17">
        <f t="shared" si="13"/>
        <v>661554.25183054642</v>
      </c>
      <c r="O25" s="17">
        <f t="shared" si="13"/>
        <v>678093.10812631005</v>
      </c>
      <c r="P25" s="17">
        <f t="shared" si="13"/>
        <v>695045.43582946772</v>
      </c>
      <c r="Q25" s="17">
        <f t="shared" si="13"/>
        <v>712421.57172520435</v>
      </c>
    </row>
    <row r="26" spans="2:17" x14ac:dyDescent="0.25">
      <c r="B26" s="24" t="s">
        <v>73</v>
      </c>
      <c r="E26" s="46">
        <f>'Summary and Assumptions'!O24</f>
        <v>3.7499999999999999E-2</v>
      </c>
      <c r="F26" s="17"/>
      <c r="G26" s="17">
        <f t="shared" si="10"/>
        <v>540553.54499999993</v>
      </c>
      <c r="H26" s="17">
        <f t="shared" si="11"/>
        <v>559472.91907499987</v>
      </c>
      <c r="I26" s="17">
        <f t="shared" si="11"/>
        <v>579054.4712426248</v>
      </c>
      <c r="J26" s="17">
        <f t="shared" ref="J26:Q26" si="14">I26*(1+J$22)</f>
        <v>596426.10537990357</v>
      </c>
      <c r="K26" s="17">
        <f t="shared" si="14"/>
        <v>614318.88854130066</v>
      </c>
      <c r="L26" s="17">
        <f t="shared" si="14"/>
        <v>629676.86075483309</v>
      </c>
      <c r="M26" s="17">
        <f t="shared" si="14"/>
        <v>645418.78227370384</v>
      </c>
      <c r="N26" s="17">
        <f t="shared" si="14"/>
        <v>661554.25183054642</v>
      </c>
      <c r="O26" s="17">
        <f t="shared" si="14"/>
        <v>678093.10812631005</v>
      </c>
      <c r="P26" s="17">
        <f t="shared" si="14"/>
        <v>695045.43582946772</v>
      </c>
      <c r="Q26" s="17">
        <f t="shared" si="14"/>
        <v>712421.57172520435</v>
      </c>
    </row>
    <row r="27" spans="2:17" x14ac:dyDescent="0.25">
      <c r="B27" s="24" t="s">
        <v>74</v>
      </c>
      <c r="E27" s="46">
        <f>'Summary and Assumptions'!O25</f>
        <v>0.02</v>
      </c>
      <c r="F27" s="17"/>
      <c r="G27" s="17">
        <f t="shared" si="10"/>
        <v>288295.22399999999</v>
      </c>
      <c r="H27" s="17">
        <f t="shared" si="11"/>
        <v>298385.55683999998</v>
      </c>
      <c r="I27" s="17">
        <f t="shared" si="11"/>
        <v>308829.05132939992</v>
      </c>
      <c r="J27" s="17">
        <f t="shared" ref="J27:Q27" si="15">I27*(1+J$22)</f>
        <v>318093.92286928196</v>
      </c>
      <c r="K27" s="17">
        <f t="shared" si="15"/>
        <v>327636.74055536045</v>
      </c>
      <c r="L27" s="17">
        <f t="shared" si="15"/>
        <v>335827.6590692444</v>
      </c>
      <c r="M27" s="17">
        <f t="shared" si="15"/>
        <v>344223.3505459755</v>
      </c>
      <c r="N27" s="17">
        <f t="shared" si="15"/>
        <v>352828.93430962483</v>
      </c>
      <c r="O27" s="17">
        <f t="shared" si="15"/>
        <v>361649.65766736545</v>
      </c>
      <c r="P27" s="17">
        <f t="shared" si="15"/>
        <v>370690.89910904953</v>
      </c>
      <c r="Q27" s="17">
        <f t="shared" si="15"/>
        <v>379958.17158677574</v>
      </c>
    </row>
    <row r="28" spans="2:17" x14ac:dyDescent="0.25">
      <c r="B28" s="24" t="s">
        <v>76</v>
      </c>
      <c r="E28" s="46">
        <f>'Summary and Assumptions'!O26</f>
        <v>4.2500000000000003E-2</v>
      </c>
      <c r="F28" s="17"/>
      <c r="G28" s="17">
        <f t="shared" si="10"/>
        <v>612627.35100000002</v>
      </c>
      <c r="H28" s="17">
        <f t="shared" si="11"/>
        <v>634069.30828499992</v>
      </c>
      <c r="I28" s="17">
        <f t="shared" si="11"/>
        <v>656261.7340749749</v>
      </c>
      <c r="J28" s="17">
        <f t="shared" ref="J28:Q28" si="16">I28*(1+J$22)</f>
        <v>675949.58609722415</v>
      </c>
      <c r="K28" s="17">
        <f t="shared" si="16"/>
        <v>696228.07368014089</v>
      </c>
      <c r="L28" s="17">
        <f t="shared" si="16"/>
        <v>713633.77552214439</v>
      </c>
      <c r="M28" s="17">
        <f t="shared" si="16"/>
        <v>731474.61991019791</v>
      </c>
      <c r="N28" s="17">
        <f t="shared" si="16"/>
        <v>749761.4854079528</v>
      </c>
      <c r="O28" s="17">
        <f t="shared" si="16"/>
        <v>768505.52254315151</v>
      </c>
      <c r="P28" s="17">
        <f t="shared" si="16"/>
        <v>787718.16060673026</v>
      </c>
      <c r="Q28" s="17">
        <f t="shared" si="16"/>
        <v>807411.11462189839</v>
      </c>
    </row>
    <row r="29" spans="2:17" x14ac:dyDescent="0.25">
      <c r="B29" s="24" t="s">
        <v>75</v>
      </c>
      <c r="E29" s="46">
        <f>'Summary and Assumptions'!O27</f>
        <v>0.02</v>
      </c>
      <c r="F29" s="17"/>
      <c r="G29" s="17">
        <f t="shared" si="10"/>
        <v>288295.22399999999</v>
      </c>
      <c r="H29" s="17">
        <f t="shared" si="11"/>
        <v>298385.55683999998</v>
      </c>
      <c r="I29" s="17">
        <f t="shared" si="11"/>
        <v>308829.05132939992</v>
      </c>
      <c r="J29" s="17">
        <f t="shared" ref="J29:Q29" si="17">I29*(1+J$22)</f>
        <v>318093.92286928196</v>
      </c>
      <c r="K29" s="17">
        <f t="shared" si="17"/>
        <v>327636.74055536045</v>
      </c>
      <c r="L29" s="17">
        <f t="shared" si="17"/>
        <v>335827.6590692444</v>
      </c>
      <c r="M29" s="17">
        <f t="shared" si="17"/>
        <v>344223.3505459755</v>
      </c>
      <c r="N29" s="17">
        <f t="shared" si="17"/>
        <v>352828.93430962483</v>
      </c>
      <c r="O29" s="17">
        <f t="shared" si="17"/>
        <v>361649.65766736545</v>
      </c>
      <c r="P29" s="17">
        <f t="shared" si="17"/>
        <v>370690.89910904953</v>
      </c>
      <c r="Q29" s="17">
        <f t="shared" si="17"/>
        <v>379958.17158677574</v>
      </c>
    </row>
    <row r="30" spans="2:17" ht="15.6" x14ac:dyDescent="0.4">
      <c r="B30" s="24" t="s">
        <v>116</v>
      </c>
      <c r="E30" s="17"/>
      <c r="F30" s="17"/>
      <c r="G30" s="39">
        <f>'Summary and Assumptions'!O33</f>
        <v>36768</v>
      </c>
      <c r="H30" s="19">
        <f t="shared" si="11"/>
        <v>38054.879999999997</v>
      </c>
      <c r="I30" s="19">
        <f t="shared" si="11"/>
        <v>39386.800799999997</v>
      </c>
      <c r="J30" s="19">
        <f t="shared" ref="J30:Q30" si="18">I30*(1+J$22)</f>
        <v>40568.404823999997</v>
      </c>
      <c r="K30" s="19">
        <f t="shared" si="18"/>
        <v>41785.456968719998</v>
      </c>
      <c r="L30" s="19">
        <f t="shared" si="18"/>
        <v>42830.093392937997</v>
      </c>
      <c r="M30" s="19">
        <f t="shared" si="18"/>
        <v>43900.845727761443</v>
      </c>
      <c r="N30" s="19">
        <f t="shared" si="18"/>
        <v>44998.366870955477</v>
      </c>
      <c r="O30" s="19">
        <f t="shared" si="18"/>
        <v>46123.326042729357</v>
      </c>
      <c r="P30" s="19">
        <f t="shared" si="18"/>
        <v>47276.40919379759</v>
      </c>
      <c r="Q30" s="19">
        <f t="shared" si="18"/>
        <v>48458.319423642526</v>
      </c>
    </row>
    <row r="31" spans="2:17" x14ac:dyDescent="0.25">
      <c r="B31" s="3" t="s">
        <v>87</v>
      </c>
      <c r="E31" s="17"/>
      <c r="F31" s="17"/>
      <c r="G31" s="17">
        <f>SUM(G23:G30)</f>
        <v>3640458.2999999993</v>
      </c>
      <c r="H31" s="17">
        <f>SUM(H23:H30)</f>
        <v>3768955.4475899991</v>
      </c>
      <c r="I31" s="17">
        <f t="shared" ref="I31:Q31" si="19">SUM(I23:I30)</f>
        <v>3901990.536861524</v>
      </c>
      <c r="J31" s="17">
        <f t="shared" si="19"/>
        <v>4019050.2529673697</v>
      </c>
      <c r="K31" s="17">
        <f t="shared" si="19"/>
        <v>4139621.7605563919</v>
      </c>
      <c r="L31" s="17">
        <f t="shared" si="19"/>
        <v>4245581.4653576948</v>
      </c>
      <c r="M31" s="17">
        <f t="shared" si="19"/>
        <v>4354264.2376026511</v>
      </c>
      <c r="N31" s="17">
        <f t="shared" si="19"/>
        <v>4465740.3762220638</v>
      </c>
      <c r="O31" s="17">
        <f t="shared" si="19"/>
        <v>4580082.0042873416</v>
      </c>
      <c r="P31" s="17">
        <f t="shared" si="19"/>
        <v>4697363.1166140418</v>
      </c>
      <c r="Q31" s="17">
        <f t="shared" si="19"/>
        <v>4817659.6286154976</v>
      </c>
    </row>
    <row r="32" spans="2:17" x14ac:dyDescent="0.25">
      <c r="E32" s="17"/>
      <c r="F32" s="17"/>
      <c r="G32" s="17"/>
      <c r="H32" s="17"/>
      <c r="I32" s="17"/>
      <c r="J32" s="17"/>
      <c r="K32" s="17"/>
      <c r="L32" s="17"/>
      <c r="M32" s="17"/>
      <c r="N32" s="17"/>
      <c r="O32" s="17"/>
      <c r="P32" s="17"/>
      <c r="Q32" s="17"/>
    </row>
    <row r="33" spans="2:17" x14ac:dyDescent="0.25">
      <c r="B33" s="70" t="s">
        <v>85</v>
      </c>
      <c r="C33" s="70"/>
      <c r="D33" s="70"/>
      <c r="E33" s="71"/>
      <c r="F33" s="71"/>
      <c r="G33" s="71">
        <f>G19-G31</f>
        <v>10322128.452</v>
      </c>
      <c r="H33" s="71">
        <f t="shared" ref="H33:Q33" si="20">H19-H31</f>
        <v>10715051.027610002</v>
      </c>
      <c r="I33" s="71">
        <f t="shared" si="20"/>
        <v>11122945.355558481</v>
      </c>
      <c r="J33" s="71">
        <f t="shared" si="20"/>
        <v>11455339.292161234</v>
      </c>
      <c r="K33" s="71">
        <f t="shared" si="20"/>
        <v>11797679.158380792</v>
      </c>
      <c r="L33" s="71">
        <f t="shared" si="20"/>
        <v>12168491.762351418</v>
      </c>
      <c r="M33" s="71">
        <f t="shared" si="20"/>
        <v>12550857.533765625</v>
      </c>
      <c r="N33" s="71">
        <f t="shared" si="20"/>
        <v>12945133.922051709</v>
      </c>
      <c r="O33" s="71">
        <f t="shared" si="20"/>
        <v>13351689.374174384</v>
      </c>
      <c r="P33" s="71">
        <f t="shared" si="20"/>
        <v>13770903.671466069</v>
      </c>
      <c r="Q33" s="71">
        <f t="shared" si="20"/>
        <v>14203168.276736837</v>
      </c>
    </row>
    <row r="34" spans="2:17" x14ac:dyDescent="0.25">
      <c r="E34" s="9" t="s">
        <v>86</v>
      </c>
      <c r="F34" s="17"/>
      <c r="G34" s="17"/>
      <c r="H34" s="17"/>
      <c r="I34" s="17"/>
      <c r="J34" s="17"/>
      <c r="K34" s="17"/>
      <c r="L34" s="17"/>
      <c r="M34" s="17"/>
      <c r="N34" s="17"/>
      <c r="O34" s="17"/>
      <c r="P34" s="17"/>
      <c r="Q34" s="17"/>
    </row>
    <row r="35" spans="2:17" x14ac:dyDescent="0.25">
      <c r="B35" s="3" t="s">
        <v>88</v>
      </c>
      <c r="E35" s="45">
        <v>0.02</v>
      </c>
      <c r="F35" s="17"/>
      <c r="G35" s="17">
        <f>$E$35*G10</f>
        <v>288295.22399999999</v>
      </c>
      <c r="H35" s="17">
        <f t="shared" ref="H35:Q35" si="21">$E$35*H10</f>
        <v>299106.29490000004</v>
      </c>
      <c r="I35" s="17">
        <f t="shared" si="21"/>
        <v>310322.78095875011</v>
      </c>
      <c r="J35" s="17">
        <f t="shared" si="21"/>
        <v>319632.46438751259</v>
      </c>
      <c r="K35" s="17">
        <f t="shared" si="21"/>
        <v>329221.43831913802</v>
      </c>
      <c r="L35" s="17">
        <f t="shared" si="21"/>
        <v>339098.08146871207</v>
      </c>
      <c r="M35" s="17">
        <f t="shared" si="21"/>
        <v>349271.02391277353</v>
      </c>
      <c r="N35" s="17">
        <f t="shared" si="21"/>
        <v>359749.1546301567</v>
      </c>
      <c r="O35" s="17">
        <f t="shared" si="21"/>
        <v>370541.62926906149</v>
      </c>
      <c r="P35" s="17">
        <f t="shared" si="21"/>
        <v>381657.87814713328</v>
      </c>
      <c r="Q35" s="17">
        <f t="shared" si="21"/>
        <v>393107.61449154728</v>
      </c>
    </row>
    <row r="36" spans="2:17" x14ac:dyDescent="0.25">
      <c r="E36" s="17"/>
      <c r="F36" s="17"/>
      <c r="G36" s="17"/>
      <c r="H36" s="17"/>
      <c r="I36" s="17"/>
      <c r="J36" s="17"/>
      <c r="K36" s="17"/>
      <c r="L36" s="17"/>
      <c r="M36" s="17"/>
      <c r="N36" s="17"/>
      <c r="O36" s="17"/>
      <c r="P36" s="17"/>
      <c r="Q36" s="17"/>
    </row>
    <row r="37" spans="2:17" x14ac:dyDescent="0.25">
      <c r="B37" s="3" t="s">
        <v>126</v>
      </c>
      <c r="G37" s="17">
        <f>G33-G35</f>
        <v>10033833.228</v>
      </c>
      <c r="H37" s="17">
        <f t="shared" ref="H37:Q37" si="22">H33-H35</f>
        <v>10415944.732710002</v>
      </c>
      <c r="I37" s="17">
        <f t="shared" si="22"/>
        <v>10812622.574599732</v>
      </c>
      <c r="J37" s="17">
        <f t="shared" si="22"/>
        <v>11135706.827773722</v>
      </c>
      <c r="K37" s="17">
        <f t="shared" si="22"/>
        <v>11468457.720061654</v>
      </c>
      <c r="L37" s="17">
        <f t="shared" si="22"/>
        <v>11829393.680882705</v>
      </c>
      <c r="M37" s="17">
        <f t="shared" si="22"/>
        <v>12201586.509852851</v>
      </c>
      <c r="N37" s="17">
        <f t="shared" si="22"/>
        <v>12585384.767421553</v>
      </c>
      <c r="O37" s="17">
        <f t="shared" si="22"/>
        <v>12981147.744905323</v>
      </c>
      <c r="P37" s="17">
        <f t="shared" si="22"/>
        <v>13389245.793318937</v>
      </c>
      <c r="Q37" s="17">
        <f t="shared" si="22"/>
        <v>13810060.66224529</v>
      </c>
    </row>
    <row r="38" spans="2:17" x14ac:dyDescent="0.25"/>
    <row r="39" spans="2:17" hidden="1" x14ac:dyDescent="0.25">
      <c r="Q39" s="40"/>
    </row>
  </sheetData>
  <mergeCells count="1">
    <mergeCell ref="R7:W8"/>
  </mergeCells>
  <pageMargins left="0.7" right="0.7" top="0.75" bottom="0.75" header="0.3" footer="0.3"/>
  <pageSetup paperSize="9" scale="93" orientation="portrait" r:id="rId1"/>
  <colBreaks count="1" manualBreakCount="1">
    <brk id="14" max="36"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04F48-5443-46D6-B78E-A6C80C9F20C1}">
  <sheetPr>
    <pageSetUpPr autoPageBreaks="0"/>
  </sheetPr>
  <dimension ref="A1:P43"/>
  <sheetViews>
    <sheetView showGridLines="0" topLeftCell="A12" zoomScaleNormal="100" workbookViewId="0">
      <selection activeCell="H43" sqref="H43"/>
    </sheetView>
  </sheetViews>
  <sheetFormatPr defaultColWidth="0" defaultRowHeight="13.8" zeroHeight="1" x14ac:dyDescent="0.25"/>
  <cols>
    <col min="1" max="1" width="1.77734375" style="3" customWidth="1"/>
    <col min="2" max="3" width="8.88671875" style="3" customWidth="1"/>
    <col min="4" max="4" width="10.44140625" style="3" bestFit="1" customWidth="1"/>
    <col min="5" max="7" width="8.88671875" style="3" customWidth="1"/>
    <col min="8" max="8" width="13.77734375" style="3" customWidth="1"/>
    <col min="9" max="15" width="8.88671875" style="3" customWidth="1"/>
    <col min="16" max="16" width="1.77734375" style="3" customWidth="1"/>
    <col min="17" max="16384" width="8.88671875" style="3" hidden="1"/>
  </cols>
  <sheetData>
    <row r="1" spans="2:15" x14ac:dyDescent="0.25"/>
    <row r="2" spans="2:15" x14ac:dyDescent="0.25">
      <c r="B2" s="1" t="s">
        <v>128</v>
      </c>
      <c r="C2" s="2"/>
      <c r="D2" s="2"/>
      <c r="E2" s="2"/>
      <c r="F2" s="2"/>
      <c r="G2" s="2"/>
      <c r="H2" s="2"/>
      <c r="I2" s="2"/>
      <c r="J2" s="2"/>
      <c r="K2" s="2"/>
      <c r="L2" s="2"/>
      <c r="M2" s="2"/>
      <c r="N2" s="2"/>
      <c r="O2" s="30" t="s">
        <v>35</v>
      </c>
    </row>
    <row r="3" spans="2:15" x14ac:dyDescent="0.25">
      <c r="B3" s="4" t="s">
        <v>129</v>
      </c>
      <c r="C3" s="4"/>
      <c r="D3" s="4"/>
      <c r="E3" s="4"/>
      <c r="F3" s="4"/>
      <c r="G3" s="4"/>
      <c r="H3" s="77">
        <f>'Operating Statement'!Q4</f>
        <v>11</v>
      </c>
      <c r="I3" s="23" t="s">
        <v>52</v>
      </c>
      <c r="J3" s="4"/>
      <c r="K3" s="4"/>
      <c r="L3" s="4"/>
      <c r="M3" s="4"/>
      <c r="N3" s="36" t="s">
        <v>131</v>
      </c>
      <c r="O3" s="76">
        <f>'Operating Statement'!Q5</f>
        <v>50283</v>
      </c>
    </row>
    <row r="4" spans="2:15" x14ac:dyDescent="0.25">
      <c r="B4" s="3" t="s">
        <v>49</v>
      </c>
      <c r="G4" s="8" t="s">
        <v>54</v>
      </c>
      <c r="H4" s="8" t="s">
        <v>132</v>
      </c>
    </row>
    <row r="5" spans="2:15" x14ac:dyDescent="0.25">
      <c r="B5" s="3" t="s">
        <v>50</v>
      </c>
    </row>
    <row r="6" spans="2:15" x14ac:dyDescent="0.25">
      <c r="B6" s="24" t="s">
        <v>55</v>
      </c>
      <c r="G6" s="31">
        <f>H6/GLA</f>
        <v>50.779062382135344</v>
      </c>
      <c r="H6" s="37">
        <f>'Operating Statement'!Q8</f>
        <v>20056510.94344629</v>
      </c>
      <c r="I6" s="58"/>
      <c r="J6" s="59"/>
      <c r="K6" s="59"/>
      <c r="L6" s="59"/>
      <c r="M6" s="59"/>
      <c r="N6" s="59"/>
      <c r="O6" s="59"/>
    </row>
    <row r="7" spans="2:15" ht="15.6" x14ac:dyDescent="0.4">
      <c r="B7" s="24" t="s">
        <v>48</v>
      </c>
      <c r="F7" s="46"/>
      <c r="G7" s="38">
        <f>H7/GLA</f>
        <v>-1.0155812476427069</v>
      </c>
      <c r="H7" s="39">
        <f>'Operating Statement'!Q9</f>
        <v>-401130.21886892582</v>
      </c>
      <c r="I7" s="58"/>
      <c r="J7" s="59"/>
      <c r="K7" s="59"/>
      <c r="L7" s="59"/>
      <c r="M7" s="59"/>
      <c r="N7" s="59"/>
      <c r="O7" s="59"/>
    </row>
    <row r="8" spans="2:15" x14ac:dyDescent="0.25">
      <c r="B8" s="3" t="s">
        <v>51</v>
      </c>
      <c r="G8" s="31">
        <f>SUM(G6:G7)</f>
        <v>49.763481134492636</v>
      </c>
      <c r="H8" s="40">
        <f>SUM(H6:H7)</f>
        <v>19655380.724577364</v>
      </c>
      <c r="I8" s="59"/>
      <c r="J8" s="59"/>
      <c r="K8" s="59"/>
      <c r="L8" s="59"/>
      <c r="M8" s="59"/>
      <c r="N8" s="59"/>
      <c r="O8" s="59"/>
    </row>
    <row r="9" spans="2:15" x14ac:dyDescent="0.25">
      <c r="I9" s="59"/>
      <c r="J9" s="59"/>
      <c r="K9" s="59"/>
      <c r="L9" s="59"/>
      <c r="M9" s="59"/>
      <c r="N9" s="59"/>
      <c r="O9" s="59"/>
    </row>
    <row r="10" spans="2:15" x14ac:dyDescent="0.25">
      <c r="B10" s="3" t="s">
        <v>56</v>
      </c>
      <c r="D10" s="9"/>
      <c r="E10" s="9"/>
      <c r="F10" s="9"/>
      <c r="I10" s="59"/>
      <c r="J10" s="59"/>
      <c r="K10" s="59"/>
      <c r="L10" s="59"/>
      <c r="M10" s="59"/>
      <c r="N10" s="59"/>
      <c r="O10" s="59"/>
    </row>
    <row r="11" spans="2:15" ht="15.6" customHeight="1" x14ac:dyDescent="0.4">
      <c r="B11" s="24" t="s">
        <v>57</v>
      </c>
      <c r="D11" s="43"/>
      <c r="E11" s="42"/>
      <c r="F11" s="41"/>
      <c r="G11" s="38">
        <f>H11/GLA</f>
        <v>0.39997791468676713</v>
      </c>
      <c r="H11" s="39">
        <f>'Operating Statement'!Q13</f>
        <v>157981.67683132054</v>
      </c>
      <c r="I11" s="110"/>
      <c r="J11" s="110"/>
      <c r="K11" s="110"/>
      <c r="L11" s="110"/>
      <c r="M11" s="110"/>
      <c r="N11" s="110"/>
      <c r="O11" s="110"/>
    </row>
    <row r="12" spans="2:15" x14ac:dyDescent="0.25">
      <c r="B12" s="3" t="s">
        <v>58</v>
      </c>
      <c r="G12" s="31">
        <f>SUM(G11)</f>
        <v>0.39997791468676713</v>
      </c>
      <c r="H12" s="17">
        <f>SUM(H11)</f>
        <v>157981.67683132054</v>
      </c>
      <c r="I12" s="110"/>
      <c r="J12" s="110"/>
      <c r="K12" s="110"/>
      <c r="L12" s="110"/>
      <c r="M12" s="110"/>
      <c r="N12" s="110"/>
      <c r="O12" s="110"/>
    </row>
    <row r="13" spans="2:15" x14ac:dyDescent="0.25">
      <c r="H13" s="17"/>
      <c r="I13" s="60"/>
      <c r="J13" s="60"/>
      <c r="K13" s="60"/>
      <c r="L13" s="60"/>
      <c r="M13" s="60"/>
      <c r="N13" s="60"/>
      <c r="O13" s="60"/>
    </row>
    <row r="14" spans="2:15" x14ac:dyDescent="0.25">
      <c r="B14" s="3" t="s">
        <v>63</v>
      </c>
      <c r="H14" s="17"/>
      <c r="I14" s="59"/>
      <c r="J14" s="59"/>
      <c r="K14" s="59"/>
      <c r="L14" s="59"/>
      <c r="M14" s="59"/>
      <c r="N14" s="59"/>
      <c r="O14" s="59"/>
    </row>
    <row r="15" spans="2:15" x14ac:dyDescent="0.25">
      <c r="B15" s="24" t="s">
        <v>64</v>
      </c>
      <c r="G15" s="31">
        <f>H15/GLA</f>
        <v>50.163459049179401</v>
      </c>
      <c r="H15" s="37">
        <f>'Operating Statement'!Q17</f>
        <v>19813362.401408684</v>
      </c>
      <c r="I15" s="59"/>
      <c r="J15" s="59"/>
      <c r="K15" s="59"/>
      <c r="L15" s="59"/>
      <c r="M15" s="59"/>
      <c r="N15" s="59"/>
      <c r="O15" s="59"/>
    </row>
    <row r="16" spans="2:15" ht="15.6" x14ac:dyDescent="0.4">
      <c r="B16" s="24" t="s">
        <v>65</v>
      </c>
      <c r="D16" s="44"/>
      <c r="F16" s="46"/>
      <c r="G16" s="38">
        <f>H16/GLA</f>
        <v>-2.0065383619671762</v>
      </c>
      <c r="H16" s="39">
        <f>'Operating Statement'!Q18</f>
        <v>-792534.49605634739</v>
      </c>
      <c r="I16" s="110"/>
      <c r="J16" s="110"/>
      <c r="K16" s="110"/>
      <c r="L16" s="110"/>
      <c r="M16" s="110"/>
      <c r="N16" s="110"/>
      <c r="O16" s="110"/>
    </row>
    <row r="17" spans="2:15" x14ac:dyDescent="0.25">
      <c r="B17" s="3" t="s">
        <v>66</v>
      </c>
      <c r="G17" s="31">
        <f>SUM(G15:G16)</f>
        <v>48.156920687212228</v>
      </c>
      <c r="H17" s="17">
        <f>SUM(H15:H16)</f>
        <v>19020827.905352335</v>
      </c>
      <c r="I17" s="110"/>
      <c r="J17" s="110"/>
      <c r="K17" s="110"/>
      <c r="L17" s="110"/>
      <c r="M17" s="110"/>
      <c r="N17" s="110"/>
      <c r="O17" s="110"/>
    </row>
    <row r="18" spans="2:15" x14ac:dyDescent="0.25">
      <c r="I18" s="59"/>
      <c r="J18" s="59"/>
      <c r="K18" s="59"/>
      <c r="L18" s="59"/>
      <c r="M18" s="59"/>
      <c r="N18" s="59"/>
      <c r="O18" s="59"/>
    </row>
    <row r="19" spans="2:15" x14ac:dyDescent="0.25">
      <c r="B19" s="3" t="s">
        <v>68</v>
      </c>
      <c r="I19" s="59"/>
      <c r="J19" s="59"/>
      <c r="K19" s="59"/>
      <c r="L19" s="59"/>
      <c r="M19" s="59"/>
      <c r="N19" s="59"/>
      <c r="O19" s="59"/>
    </row>
    <row r="20" spans="2:15" x14ac:dyDescent="0.25">
      <c r="B20" s="3" t="s">
        <v>99</v>
      </c>
      <c r="F20" s="9"/>
      <c r="I20" s="59"/>
      <c r="J20" s="59"/>
      <c r="K20" s="59"/>
      <c r="L20" s="59"/>
      <c r="M20" s="59"/>
      <c r="N20" s="59"/>
      <c r="O20" s="59"/>
    </row>
    <row r="21" spans="2:15" x14ac:dyDescent="0.25">
      <c r="B21" s="24" t="s">
        <v>70</v>
      </c>
      <c r="F21" s="46"/>
      <c r="G21" s="31">
        <f t="shared" ref="G21:G28" si="0">H21/GLA</f>
        <v>1.492904434034779</v>
      </c>
      <c r="H21" s="37">
        <f>'Operating Statement'!Q23</f>
        <v>589661.42173732084</v>
      </c>
      <c r="I21" s="58"/>
      <c r="J21" s="59"/>
      <c r="K21" s="59"/>
      <c r="L21" s="59"/>
      <c r="M21" s="59"/>
      <c r="N21" s="59"/>
      <c r="O21" s="59"/>
    </row>
    <row r="22" spans="2:15" x14ac:dyDescent="0.25">
      <c r="B22" s="24" t="s">
        <v>71</v>
      </c>
      <c r="F22" s="46"/>
      <c r="G22" s="31">
        <f t="shared" si="0"/>
        <v>3.0061808469594964</v>
      </c>
      <c r="H22" s="37">
        <f>'Operating Statement'!Q24</f>
        <v>1187369.2862086741</v>
      </c>
      <c r="I22" s="58"/>
      <c r="J22" s="59"/>
      <c r="K22" s="59"/>
      <c r="L22" s="59"/>
      <c r="M22" s="59"/>
      <c r="N22" s="59"/>
      <c r="O22" s="59"/>
    </row>
    <row r="23" spans="2:15" x14ac:dyDescent="0.25">
      <c r="B23" s="24" t="s">
        <v>72</v>
      </c>
      <c r="F23" s="46"/>
      <c r="G23" s="31">
        <f t="shared" si="0"/>
        <v>1.8037085081756976</v>
      </c>
      <c r="H23" s="37">
        <f>'Operating Statement'!Q25</f>
        <v>712421.57172520435</v>
      </c>
      <c r="I23" s="59"/>
      <c r="J23" s="59"/>
      <c r="K23" s="59"/>
      <c r="L23" s="59"/>
      <c r="M23" s="59"/>
      <c r="N23" s="59"/>
      <c r="O23" s="59"/>
    </row>
    <row r="24" spans="2:15" x14ac:dyDescent="0.25">
      <c r="B24" s="24" t="s">
        <v>73</v>
      </c>
      <c r="F24" s="46"/>
      <c r="G24" s="31">
        <f t="shared" si="0"/>
        <v>1.8037085081756976</v>
      </c>
      <c r="H24" s="37">
        <f>'Operating Statement'!Q26</f>
        <v>712421.57172520435</v>
      </c>
      <c r="I24" s="58"/>
      <c r="J24" s="59"/>
      <c r="K24" s="59"/>
      <c r="L24" s="59"/>
      <c r="M24" s="59"/>
      <c r="N24" s="59"/>
      <c r="O24" s="59"/>
    </row>
    <row r="25" spans="2:15" x14ac:dyDescent="0.25">
      <c r="B25" s="24" t="s">
        <v>74</v>
      </c>
      <c r="F25" s="46"/>
      <c r="G25" s="31">
        <f t="shared" si="0"/>
        <v>0.96197787102703902</v>
      </c>
      <c r="H25" s="37">
        <f>'Operating Statement'!Q27</f>
        <v>379958.17158677574</v>
      </c>
      <c r="I25" s="58"/>
      <c r="J25" s="59"/>
      <c r="K25" s="59"/>
      <c r="L25" s="59"/>
      <c r="M25" s="59"/>
      <c r="N25" s="59"/>
      <c r="O25" s="59"/>
    </row>
    <row r="26" spans="2:15" x14ac:dyDescent="0.25">
      <c r="B26" s="24" t="s">
        <v>76</v>
      </c>
      <c r="F26" s="46"/>
      <c r="G26" s="31">
        <f t="shared" si="0"/>
        <v>2.0442029759324578</v>
      </c>
      <c r="H26" s="37">
        <f>'Operating Statement'!Q28</f>
        <v>807411.11462189839</v>
      </c>
      <c r="I26" s="58"/>
      <c r="J26" s="59"/>
      <c r="K26" s="59"/>
      <c r="L26" s="59"/>
      <c r="M26" s="59"/>
      <c r="N26" s="59"/>
      <c r="O26" s="59"/>
    </row>
    <row r="27" spans="2:15" x14ac:dyDescent="0.25">
      <c r="B27" s="24" t="s">
        <v>75</v>
      </c>
      <c r="F27" s="46"/>
      <c r="G27" s="31">
        <f t="shared" si="0"/>
        <v>0.96197787102703902</v>
      </c>
      <c r="H27" s="37">
        <f>'Operating Statement'!Q29</f>
        <v>379958.17158677574</v>
      </c>
      <c r="I27" s="58"/>
      <c r="J27" s="59"/>
      <c r="K27" s="59"/>
      <c r="L27" s="59"/>
      <c r="M27" s="59"/>
      <c r="N27" s="59"/>
      <c r="O27" s="59"/>
    </row>
    <row r="28" spans="2:15" ht="15.6" x14ac:dyDescent="0.4">
      <c r="B28" s="24" t="s">
        <v>116</v>
      </c>
      <c r="G28" s="38">
        <f t="shared" si="0"/>
        <v>0.12268674406455715</v>
      </c>
      <c r="H28" s="39">
        <f>'Operating Statement'!Q30</f>
        <v>48458.319423642526</v>
      </c>
      <c r="I28" s="58"/>
      <c r="J28" s="59"/>
      <c r="K28" s="59"/>
      <c r="L28" s="59"/>
      <c r="M28" s="59"/>
      <c r="N28" s="59"/>
      <c r="O28" s="59"/>
    </row>
    <row r="29" spans="2:15" x14ac:dyDescent="0.25">
      <c r="B29" s="3" t="s">
        <v>87</v>
      </c>
      <c r="G29" s="31">
        <f>SUM(G21:G28)</f>
        <v>12.197347759396761</v>
      </c>
      <c r="H29" s="17">
        <f>SUM(H21:H28)</f>
        <v>4817659.6286154976</v>
      </c>
    </row>
    <row r="30" spans="2:15" x14ac:dyDescent="0.25"/>
    <row r="31" spans="2:15" x14ac:dyDescent="0.25">
      <c r="B31" s="70" t="s">
        <v>85</v>
      </c>
      <c r="C31" s="70"/>
      <c r="D31" s="70"/>
      <c r="E31" s="70"/>
      <c r="F31" s="70"/>
      <c r="G31" s="72">
        <f>H31/GLA</f>
        <v>35.959572927815451</v>
      </c>
      <c r="H31" s="71">
        <f>H17-H29</f>
        <v>14203168.276736837</v>
      </c>
    </row>
    <row r="32" spans="2:15" x14ac:dyDescent="0.25">
      <c r="F32" s="9"/>
    </row>
    <row r="33" spans="2:15" x14ac:dyDescent="0.25">
      <c r="B33" s="3" t="s">
        <v>88</v>
      </c>
      <c r="F33" s="45"/>
      <c r="G33" s="31">
        <f>H33/GLA</f>
        <v>0.99526962268985275</v>
      </c>
      <c r="H33" s="37">
        <f>'Operating Statement'!Q35</f>
        <v>393107.61449154728</v>
      </c>
      <c r="I33" s="109"/>
      <c r="J33" s="109"/>
      <c r="K33" s="109"/>
      <c r="L33" s="109"/>
      <c r="M33" s="109"/>
      <c r="N33" s="109"/>
      <c r="O33" s="109"/>
    </row>
    <row r="34" spans="2:15" x14ac:dyDescent="0.25">
      <c r="I34" s="109"/>
      <c r="J34" s="109"/>
      <c r="K34" s="109"/>
      <c r="L34" s="109"/>
      <c r="M34" s="109"/>
      <c r="N34" s="109"/>
      <c r="O34" s="109"/>
    </row>
    <row r="35" spans="2:15" x14ac:dyDescent="0.25">
      <c r="B35" s="3" t="s">
        <v>126</v>
      </c>
      <c r="G35" s="31">
        <f>H35/GLA</f>
        <v>34.964303305125604</v>
      </c>
      <c r="H35" s="17">
        <f>H31-H33</f>
        <v>13810060.66224529</v>
      </c>
    </row>
    <row r="36" spans="2:15" x14ac:dyDescent="0.25"/>
    <row r="37" spans="2:15" x14ac:dyDescent="0.25">
      <c r="B37" s="4" t="s">
        <v>130</v>
      </c>
      <c r="C37" s="4"/>
      <c r="D37" s="4"/>
      <c r="E37" s="4"/>
      <c r="F37" s="4"/>
      <c r="G37" s="4"/>
      <c r="H37" s="4"/>
      <c r="I37" s="4"/>
      <c r="J37" s="4"/>
      <c r="K37" s="4"/>
      <c r="L37" s="4"/>
      <c r="M37" s="4"/>
      <c r="N37" s="4"/>
      <c r="O37" s="4"/>
    </row>
    <row r="38" spans="2:15" x14ac:dyDescent="0.25">
      <c r="B38" s="3" t="s">
        <v>106</v>
      </c>
      <c r="E38" s="9"/>
      <c r="F38" s="9"/>
      <c r="H38" s="46">
        <f>'Summary and Assumptions'!H23</f>
        <v>4.7500000000000001E-2</v>
      </c>
    </row>
    <row r="39" spans="2:15" x14ac:dyDescent="0.25">
      <c r="B39" s="3" t="s">
        <v>139</v>
      </c>
      <c r="E39" s="46"/>
      <c r="F39" s="46"/>
      <c r="H39" s="17">
        <f>H31/H38</f>
        <v>299014068.98393339</v>
      </c>
      <c r="I39" s="88" t="s">
        <v>142</v>
      </c>
    </row>
    <row r="40" spans="2:15" ht="15.6" x14ac:dyDescent="0.4">
      <c r="B40" s="24" t="s">
        <v>123</v>
      </c>
      <c r="F40" s="46">
        <f>'Summary and Assumptions'!H24</f>
        <v>0.02</v>
      </c>
      <c r="H40" s="19">
        <f>-F40*H39</f>
        <v>-5980281.3796786675</v>
      </c>
    </row>
    <row r="41" spans="2:15" x14ac:dyDescent="0.25">
      <c r="B41" s="75" t="s">
        <v>130</v>
      </c>
      <c r="F41" s="46"/>
      <c r="H41" s="17">
        <f>SUM(H39:H40)</f>
        <v>293033787.60425472</v>
      </c>
    </row>
    <row r="42" spans="2:15" x14ac:dyDescent="0.25">
      <c r="H42" s="17"/>
    </row>
    <row r="43" spans="2:15" x14ac:dyDescent="0.25">
      <c r="H43" s="31"/>
    </row>
  </sheetData>
  <mergeCells count="3">
    <mergeCell ref="I11:O12"/>
    <mergeCell ref="I16:O17"/>
    <mergeCell ref="I33:O34"/>
  </mergeCells>
  <pageMargins left="0.7" right="0.7" top="0.75" bottom="0.75" header="0.3" footer="0.3"/>
  <pageSetup paperSize="9" orientation="portrait" r:id="rId1"/>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F64B5-C89A-4847-AC96-13AAB091728F}">
  <sheetPr>
    <pageSetUpPr autoPageBreaks="0"/>
  </sheetPr>
  <dimension ref="A1:Q37"/>
  <sheetViews>
    <sheetView showGridLines="0" topLeftCell="A7" zoomScaleNormal="100" workbookViewId="0">
      <selection activeCell="D10" sqref="D10"/>
    </sheetView>
  </sheetViews>
  <sheetFormatPr defaultColWidth="0" defaultRowHeight="13.8" zeroHeight="1" x14ac:dyDescent="0.25"/>
  <cols>
    <col min="1" max="1" width="1.77734375" style="3" customWidth="1"/>
    <col min="2" max="5" width="8.88671875" style="3" customWidth="1"/>
    <col min="6" max="16" width="13.33203125" style="3" customWidth="1"/>
    <col min="17" max="17" width="1.77734375" style="3" customWidth="1"/>
    <col min="18" max="16384" width="8.88671875" style="3" hidden="1"/>
  </cols>
  <sheetData>
    <row r="1" spans="2:16" x14ac:dyDescent="0.25"/>
    <row r="2" spans="2:16" x14ac:dyDescent="0.25">
      <c r="B2" s="1" t="s">
        <v>143</v>
      </c>
      <c r="C2" s="2"/>
      <c r="D2" s="2"/>
      <c r="E2" s="2"/>
      <c r="F2" s="2"/>
      <c r="G2" s="2"/>
      <c r="H2" s="2"/>
      <c r="I2" s="2"/>
      <c r="J2" s="2"/>
      <c r="K2" s="2"/>
      <c r="L2" s="2"/>
      <c r="M2" s="2"/>
      <c r="N2" s="2"/>
      <c r="O2" s="2"/>
      <c r="P2" s="30" t="s">
        <v>35</v>
      </c>
    </row>
    <row r="3" spans="2:16" x14ac:dyDescent="0.25">
      <c r="B3" s="4" t="s">
        <v>144</v>
      </c>
      <c r="C3" s="4"/>
      <c r="D3" s="4"/>
      <c r="E3" s="4"/>
      <c r="F3" s="77">
        <v>0</v>
      </c>
      <c r="G3" s="77">
        <f>F3+1</f>
        <v>1</v>
      </c>
      <c r="H3" s="77">
        <f>G3+1</f>
        <v>2</v>
      </c>
      <c r="I3" s="77">
        <f t="shared" ref="I3:P3" si="0">H3+1</f>
        <v>3</v>
      </c>
      <c r="J3" s="77">
        <f t="shared" si="0"/>
        <v>4</v>
      </c>
      <c r="K3" s="77">
        <f t="shared" si="0"/>
        <v>5</v>
      </c>
      <c r="L3" s="77">
        <f t="shared" si="0"/>
        <v>6</v>
      </c>
      <c r="M3" s="77">
        <f t="shared" si="0"/>
        <v>7</v>
      </c>
      <c r="N3" s="77">
        <f t="shared" si="0"/>
        <v>8</v>
      </c>
      <c r="O3" s="77">
        <f t="shared" si="0"/>
        <v>9</v>
      </c>
      <c r="P3" s="77">
        <f t="shared" si="0"/>
        <v>10</v>
      </c>
    </row>
    <row r="4" spans="2:16" x14ac:dyDescent="0.25">
      <c r="B4" s="3" t="s">
        <v>145</v>
      </c>
    </row>
    <row r="5" spans="2:16" x14ac:dyDescent="0.25">
      <c r="B5" s="3" t="s">
        <v>101</v>
      </c>
      <c r="F5" s="37">
        <f>Acquisition!H39</f>
        <v>225928940.12585497</v>
      </c>
    </row>
    <row r="6" spans="2:16" x14ac:dyDescent="0.25">
      <c r="B6" s="24" t="s">
        <v>108</v>
      </c>
      <c r="F6" s="37">
        <f>Acquisition!H40</f>
        <v>11296447.006292749</v>
      </c>
    </row>
    <row r="7" spans="2:16" ht="15.6" x14ac:dyDescent="0.4">
      <c r="B7" s="24" t="s">
        <v>109</v>
      </c>
      <c r="F7" s="39">
        <f>Acquisition!H41</f>
        <v>5648223.5031463746</v>
      </c>
    </row>
    <row r="8" spans="2:16" x14ac:dyDescent="0.25">
      <c r="B8" s="3" t="s">
        <v>110</v>
      </c>
      <c r="F8" s="17">
        <f>SUM(F5:F7)</f>
        <v>242873610.63529411</v>
      </c>
    </row>
    <row r="9" spans="2:16" x14ac:dyDescent="0.25"/>
    <row r="10" spans="2:16" x14ac:dyDescent="0.25">
      <c r="B10" s="3" t="s">
        <v>146</v>
      </c>
    </row>
    <row r="11" spans="2:16" x14ac:dyDescent="0.25">
      <c r="B11" s="24" t="s">
        <v>51</v>
      </c>
      <c r="G11" s="37">
        <f>'Operating Statement'!G10</f>
        <v>14414761.199999999</v>
      </c>
      <c r="H11" s="37">
        <f>'Operating Statement'!H10</f>
        <v>14955314.745000001</v>
      </c>
      <c r="I11" s="37">
        <f>'Operating Statement'!I10</f>
        <v>15516139.047937505</v>
      </c>
      <c r="J11" s="37">
        <f>'Operating Statement'!J10</f>
        <v>15981623.219375629</v>
      </c>
      <c r="K11" s="37">
        <f>'Operating Statement'!K10</f>
        <v>16461071.9159569</v>
      </c>
      <c r="L11" s="37">
        <f>'Operating Statement'!L10</f>
        <v>16954904.073435605</v>
      </c>
      <c r="M11" s="37">
        <f>'Operating Statement'!M10</f>
        <v>17463551.195638675</v>
      </c>
      <c r="N11" s="37">
        <f>'Operating Statement'!N10</f>
        <v>17987457.731507834</v>
      </c>
      <c r="O11" s="37">
        <f>'Operating Statement'!O10</f>
        <v>18527081.463453073</v>
      </c>
      <c r="P11" s="37">
        <f>'Operating Statement'!P10</f>
        <v>19082893.907356665</v>
      </c>
    </row>
    <row r="12" spans="2:16" ht="15.6" x14ac:dyDescent="0.4">
      <c r="B12" s="24" t="s">
        <v>58</v>
      </c>
      <c r="G12" s="39">
        <f>'Operating Statement'!G14</f>
        <v>129600</v>
      </c>
      <c r="H12" s="39">
        <f>'Operating Statement'!H14</f>
        <v>132192</v>
      </c>
      <c r="I12" s="39">
        <f>'Operating Statement'!I14</f>
        <v>134835.84</v>
      </c>
      <c r="J12" s="39">
        <f>'Operating Statement'!J14</f>
        <v>137532.55679999999</v>
      </c>
      <c r="K12" s="39">
        <f>'Operating Statement'!K14</f>
        <v>140283.20793599999</v>
      </c>
      <c r="L12" s="39">
        <f>'Operating Statement'!L14</f>
        <v>143088.87209471999</v>
      </c>
      <c r="M12" s="39">
        <f>'Operating Statement'!M14</f>
        <v>145950.64953661439</v>
      </c>
      <c r="N12" s="39">
        <f>'Operating Statement'!N14</f>
        <v>148869.66252734669</v>
      </c>
      <c r="O12" s="39">
        <f>'Operating Statement'!O14</f>
        <v>151847.05577789363</v>
      </c>
      <c r="P12" s="39">
        <f>'Operating Statement'!P14</f>
        <v>154883.99689345152</v>
      </c>
    </row>
    <row r="13" spans="2:16" x14ac:dyDescent="0.25">
      <c r="B13" s="3" t="s">
        <v>64</v>
      </c>
      <c r="G13" s="90">
        <f>SUM(G11:G12)</f>
        <v>14544361.199999999</v>
      </c>
      <c r="H13" s="90">
        <f t="shared" ref="H13:P13" si="1">SUM(H11:H12)</f>
        <v>15087506.745000001</v>
      </c>
      <c r="I13" s="90">
        <f t="shared" si="1"/>
        <v>15650974.887937505</v>
      </c>
      <c r="J13" s="90">
        <f t="shared" si="1"/>
        <v>16119155.776175629</v>
      </c>
      <c r="K13" s="90">
        <f t="shared" si="1"/>
        <v>16601355.1238929</v>
      </c>
      <c r="L13" s="90">
        <f t="shared" si="1"/>
        <v>17097992.945530325</v>
      </c>
      <c r="M13" s="90">
        <f t="shared" si="1"/>
        <v>17609501.845175289</v>
      </c>
      <c r="N13" s="90">
        <f t="shared" si="1"/>
        <v>18136327.394035179</v>
      </c>
      <c r="O13" s="90">
        <f t="shared" si="1"/>
        <v>18678928.519230966</v>
      </c>
      <c r="P13" s="90">
        <f t="shared" si="1"/>
        <v>19237777.904250115</v>
      </c>
    </row>
    <row r="14" spans="2:16" ht="15.6" x14ac:dyDescent="0.4">
      <c r="B14" s="24" t="s">
        <v>65</v>
      </c>
      <c r="G14" s="19">
        <f>'Operating Statement'!G18</f>
        <v>-581774.44799999997</v>
      </c>
      <c r="H14" s="19">
        <f>'Operating Statement'!H18</f>
        <v>-603500.26980000001</v>
      </c>
      <c r="I14" s="19">
        <f>'Operating Statement'!I18</f>
        <v>-626038.99551750021</v>
      </c>
      <c r="J14" s="19">
        <f>'Operating Statement'!J18</f>
        <v>-644766.23104702518</v>
      </c>
      <c r="K14" s="19">
        <f>'Operating Statement'!K18</f>
        <v>-664054.20495571604</v>
      </c>
      <c r="L14" s="19">
        <f>'Operating Statement'!L18</f>
        <v>-683919.71782121307</v>
      </c>
      <c r="M14" s="19">
        <f>'Operating Statement'!M18</f>
        <v>-704380.07380701159</v>
      </c>
      <c r="N14" s="19">
        <f>'Operating Statement'!N18</f>
        <v>-725453.09576140717</v>
      </c>
      <c r="O14" s="19">
        <f>'Operating Statement'!O18</f>
        <v>-747157.14076923858</v>
      </c>
      <c r="P14" s="19">
        <f>'Operating Statement'!P18</f>
        <v>-769511.11617000459</v>
      </c>
    </row>
    <row r="15" spans="2:16" x14ac:dyDescent="0.25">
      <c r="B15" s="3" t="s">
        <v>66</v>
      </c>
      <c r="G15" s="17">
        <f>SUM(G13:G14)</f>
        <v>13962586.751999998</v>
      </c>
      <c r="H15" s="17">
        <f t="shared" ref="H15:P15" si="2">SUM(H13:H14)</f>
        <v>14484006.475200001</v>
      </c>
      <c r="I15" s="17">
        <f t="shared" si="2"/>
        <v>15024935.892420005</v>
      </c>
      <c r="J15" s="17">
        <f t="shared" si="2"/>
        <v>15474389.545128604</v>
      </c>
      <c r="K15" s="17">
        <f t="shared" si="2"/>
        <v>15937300.918937184</v>
      </c>
      <c r="L15" s="17">
        <f t="shared" si="2"/>
        <v>16414073.227709113</v>
      </c>
      <c r="M15" s="17">
        <f t="shared" si="2"/>
        <v>16905121.771368276</v>
      </c>
      <c r="N15" s="17">
        <f t="shared" si="2"/>
        <v>17410874.298273772</v>
      </c>
      <c r="O15" s="17">
        <f t="shared" si="2"/>
        <v>17931771.378461726</v>
      </c>
      <c r="P15" s="17">
        <f t="shared" si="2"/>
        <v>18468266.788080111</v>
      </c>
    </row>
    <row r="16" spans="2:16" x14ac:dyDescent="0.25"/>
    <row r="17" spans="2:16" x14ac:dyDescent="0.25">
      <c r="B17" s="3" t="s">
        <v>87</v>
      </c>
      <c r="G17" s="37">
        <f>'Operating Statement'!G31</f>
        <v>3640458.2999999993</v>
      </c>
      <c r="H17" s="37">
        <f>'Operating Statement'!H31</f>
        <v>3768955.4475899991</v>
      </c>
      <c r="I17" s="37">
        <f>'Operating Statement'!I31</f>
        <v>3901990.536861524</v>
      </c>
      <c r="J17" s="37">
        <f>'Operating Statement'!J31</f>
        <v>4019050.2529673697</v>
      </c>
      <c r="K17" s="37">
        <f>'Operating Statement'!K31</f>
        <v>4139621.7605563919</v>
      </c>
      <c r="L17" s="37">
        <f>'Operating Statement'!L31</f>
        <v>4245581.4653576948</v>
      </c>
      <c r="M17" s="37">
        <f>'Operating Statement'!M31</f>
        <v>4354264.2376026511</v>
      </c>
      <c r="N17" s="37">
        <f>'Operating Statement'!N31</f>
        <v>4465740.3762220638</v>
      </c>
      <c r="O17" s="37">
        <f>'Operating Statement'!O31</f>
        <v>4580082.0042873416</v>
      </c>
      <c r="P17" s="37">
        <f>'Operating Statement'!P31</f>
        <v>4697363.1166140418</v>
      </c>
    </row>
    <row r="18" spans="2:16" x14ac:dyDescent="0.25"/>
    <row r="19" spans="2:16" x14ac:dyDescent="0.25">
      <c r="B19" s="3" t="s">
        <v>135</v>
      </c>
      <c r="G19" s="17">
        <f>G15-G17</f>
        <v>10322128.452</v>
      </c>
      <c r="H19" s="17">
        <f t="shared" ref="H19:P19" si="3">H15-H17</f>
        <v>10715051.027610002</v>
      </c>
      <c r="I19" s="17">
        <f t="shared" si="3"/>
        <v>11122945.355558481</v>
      </c>
      <c r="J19" s="17">
        <f t="shared" si="3"/>
        <v>11455339.292161234</v>
      </c>
      <c r="K19" s="17">
        <f t="shared" si="3"/>
        <v>11797679.158380792</v>
      </c>
      <c r="L19" s="17">
        <f t="shared" si="3"/>
        <v>12168491.762351418</v>
      </c>
      <c r="M19" s="17">
        <f t="shared" si="3"/>
        <v>12550857.533765625</v>
      </c>
      <c r="N19" s="17">
        <f t="shared" si="3"/>
        <v>12945133.922051709</v>
      </c>
      <c r="O19" s="17">
        <f t="shared" si="3"/>
        <v>13351689.374174384</v>
      </c>
      <c r="P19" s="17">
        <f t="shared" si="3"/>
        <v>13770903.671466069</v>
      </c>
    </row>
    <row r="20" spans="2:16" x14ac:dyDescent="0.25"/>
    <row r="21" spans="2:16" x14ac:dyDescent="0.25">
      <c r="B21" s="3" t="s">
        <v>88</v>
      </c>
      <c r="G21" s="37">
        <f>'Operating Statement'!G35</f>
        <v>288295.22399999999</v>
      </c>
      <c r="H21" s="37">
        <f>'Operating Statement'!H35</f>
        <v>299106.29490000004</v>
      </c>
      <c r="I21" s="37">
        <f>'Operating Statement'!I35</f>
        <v>310322.78095875011</v>
      </c>
      <c r="J21" s="37">
        <f>'Operating Statement'!J35</f>
        <v>319632.46438751259</v>
      </c>
      <c r="K21" s="37">
        <f>'Operating Statement'!K35</f>
        <v>329221.43831913802</v>
      </c>
      <c r="L21" s="37">
        <f>'Operating Statement'!L35</f>
        <v>339098.08146871207</v>
      </c>
      <c r="M21" s="37">
        <f>'Operating Statement'!M35</f>
        <v>349271.02391277353</v>
      </c>
      <c r="N21" s="37">
        <f>'Operating Statement'!N35</f>
        <v>359749.1546301567</v>
      </c>
      <c r="O21" s="37">
        <f>'Operating Statement'!O35</f>
        <v>370541.62926906149</v>
      </c>
      <c r="P21" s="37">
        <f>'Operating Statement'!P35</f>
        <v>381657.87814713328</v>
      </c>
    </row>
    <row r="22" spans="2:16" x14ac:dyDescent="0.25">
      <c r="F22" s="92" t="s">
        <v>152</v>
      </c>
      <c r="G22" s="93">
        <f>G21/'Summary and Assumptions'!$O$8</f>
        <v>482.09903678929766</v>
      </c>
      <c r="H22" s="93">
        <f>H21/'Summary and Assumptions'!$O$8</f>
        <v>500.17775066889641</v>
      </c>
      <c r="I22" s="93">
        <f>I21/'Summary and Assumptions'!$O$8</f>
        <v>518.93441631898008</v>
      </c>
      <c r="J22" s="93">
        <f>J21/'Summary and Assumptions'!$O$8</f>
        <v>534.5024488085495</v>
      </c>
      <c r="K22" s="93">
        <f>K21/'Summary and Assumptions'!$O$8</f>
        <v>550.53752227280609</v>
      </c>
      <c r="L22" s="93">
        <f>L21/'Summary and Assumptions'!$O$8</f>
        <v>567.05364794099012</v>
      </c>
      <c r="M22" s="93">
        <f>M21/'Summary and Assumptions'!$O$8</f>
        <v>584.06525737921993</v>
      </c>
      <c r="N22" s="93">
        <f>N21/'Summary and Assumptions'!$O$8</f>
        <v>601.5872151005965</v>
      </c>
      <c r="O22" s="93">
        <f>O21/'Summary and Assumptions'!$O$8</f>
        <v>619.6348315536145</v>
      </c>
      <c r="P22" s="93">
        <f>P21/'Summary and Assumptions'!$O$8</f>
        <v>638.2238765002229</v>
      </c>
    </row>
    <row r="23" spans="2:16" x14ac:dyDescent="0.25">
      <c r="F23" s="91"/>
      <c r="G23" s="31"/>
      <c r="H23" s="31"/>
      <c r="I23" s="31"/>
      <c r="J23" s="31"/>
      <c r="K23" s="31"/>
      <c r="L23" s="31"/>
      <c r="M23" s="31"/>
      <c r="N23" s="31"/>
      <c r="O23" s="31"/>
      <c r="P23" s="31"/>
    </row>
    <row r="24" spans="2:16" x14ac:dyDescent="0.25">
      <c r="B24" s="3" t="s">
        <v>126</v>
      </c>
      <c r="G24" s="17">
        <f>G19-G21</f>
        <v>10033833.228</v>
      </c>
      <c r="H24" s="17">
        <f t="shared" ref="H24:P24" si="4">H19-H21</f>
        <v>10415944.732710002</v>
      </c>
      <c r="I24" s="17">
        <f t="shared" si="4"/>
        <v>10812622.574599732</v>
      </c>
      <c r="J24" s="17">
        <f t="shared" si="4"/>
        <v>11135706.827773722</v>
      </c>
      <c r="K24" s="17">
        <f t="shared" si="4"/>
        <v>11468457.720061654</v>
      </c>
      <c r="L24" s="17">
        <f t="shared" si="4"/>
        <v>11829393.680882705</v>
      </c>
      <c r="M24" s="17">
        <f t="shared" si="4"/>
        <v>12201586.509852851</v>
      </c>
      <c r="N24" s="17">
        <f t="shared" si="4"/>
        <v>12585384.767421553</v>
      </c>
      <c r="O24" s="17">
        <f t="shared" si="4"/>
        <v>12981147.744905323</v>
      </c>
      <c r="P24" s="17">
        <f t="shared" si="4"/>
        <v>13389245.793318937</v>
      </c>
    </row>
    <row r="25" spans="2:16" x14ac:dyDescent="0.25">
      <c r="F25" s="92" t="s">
        <v>153</v>
      </c>
      <c r="G25" s="94">
        <f>G24/SUM($F$8:G8)</f>
        <v>4.1312982508697034E-2</v>
      </c>
      <c r="H25" s="94">
        <f>H24/SUM($F$8:H8)</f>
        <v>4.2886276139530367E-2</v>
      </c>
      <c r="I25" s="94">
        <f>I24/SUM($F$8:I8)</f>
        <v>4.4519544738997073E-2</v>
      </c>
      <c r="J25" s="94">
        <f>J24/SUM($F$8:J8)</f>
        <v>4.5849801461120512E-2</v>
      </c>
      <c r="K25" s="94">
        <f>K24/SUM($F$8:K8)</f>
        <v>4.721985929250673E-2</v>
      </c>
      <c r="L25" s="94">
        <f>L24/SUM($F$8:L8)</f>
        <v>4.8705965419380444E-2</v>
      </c>
      <c r="M25" s="94">
        <f>M24/SUM($F$8:M8)</f>
        <v>5.0238420213446322E-2</v>
      </c>
      <c r="N25" s="94">
        <f>N24/SUM($F$8:N8)</f>
        <v>5.1818658826298436E-2</v>
      </c>
      <c r="O25" s="94">
        <f>O24/SUM($F$8:O8)</f>
        <v>5.3448160592458036E-2</v>
      </c>
      <c r="P25" s="94">
        <f>P24/SUM($F$8:P8)</f>
        <v>5.5128450383292595E-2</v>
      </c>
    </row>
    <row r="26" spans="2:16" x14ac:dyDescent="0.25"/>
    <row r="27" spans="2:16" x14ac:dyDescent="0.25">
      <c r="B27" s="3" t="s">
        <v>147</v>
      </c>
    </row>
    <row r="28" spans="2:16" x14ac:dyDescent="0.25">
      <c r="B28" s="3" t="s">
        <v>139</v>
      </c>
      <c r="P28" s="37">
        <f>Reversion!H39</f>
        <v>299014068.98393339</v>
      </c>
    </row>
    <row r="29" spans="2:16" ht="15.6" x14ac:dyDescent="0.4">
      <c r="B29" s="24" t="s">
        <v>123</v>
      </c>
      <c r="P29" s="39">
        <f>Reversion!H40</f>
        <v>-5980281.3796786675</v>
      </c>
    </row>
    <row r="30" spans="2:16" x14ac:dyDescent="0.25">
      <c r="B30" s="75" t="s">
        <v>130</v>
      </c>
      <c r="P30" s="17">
        <f>SUM(P28:P29)</f>
        <v>293033787.60425472</v>
      </c>
    </row>
    <row r="31" spans="2:16" x14ac:dyDescent="0.25"/>
    <row r="32" spans="2:16" x14ac:dyDescent="0.25">
      <c r="B32" s="3" t="s">
        <v>148</v>
      </c>
      <c r="F32" s="17">
        <f>-F8+F24+F30</f>
        <v>-242873610.63529411</v>
      </c>
      <c r="G32" s="17">
        <f t="shared" ref="G32:P32" si="5">-G8+G24+G30</f>
        <v>10033833.228</v>
      </c>
      <c r="H32" s="17">
        <f t="shared" si="5"/>
        <v>10415944.732710002</v>
      </c>
      <c r="I32" s="17">
        <f t="shared" si="5"/>
        <v>10812622.574599732</v>
      </c>
      <c r="J32" s="17">
        <f t="shared" si="5"/>
        <v>11135706.827773722</v>
      </c>
      <c r="K32" s="17">
        <f t="shared" si="5"/>
        <v>11468457.720061654</v>
      </c>
      <c r="L32" s="17">
        <f t="shared" si="5"/>
        <v>11829393.680882705</v>
      </c>
      <c r="M32" s="17">
        <f t="shared" si="5"/>
        <v>12201586.509852851</v>
      </c>
      <c r="N32" s="17">
        <f t="shared" si="5"/>
        <v>12585384.767421553</v>
      </c>
      <c r="O32" s="17">
        <f t="shared" si="5"/>
        <v>12981147.744905323</v>
      </c>
      <c r="P32" s="17">
        <f t="shared" si="5"/>
        <v>306423033.39757365</v>
      </c>
    </row>
    <row r="33" spans="2:6" x14ac:dyDescent="0.25"/>
    <row r="34" spans="2:6" x14ac:dyDescent="0.25">
      <c r="B34" s="24" t="s">
        <v>149</v>
      </c>
      <c r="F34" s="99">
        <f>IRR(F32:P32)</f>
        <v>6.2821206699964494E-2</v>
      </c>
    </row>
    <row r="35" spans="2:6" x14ac:dyDescent="0.25">
      <c r="B35" s="24" t="s">
        <v>150</v>
      </c>
      <c r="F35" s="100">
        <f>SUMIF(F32:P32,"&gt;0")/-SUMIF(F32:P32,"&lt;0")</f>
        <v>1.6876560203952307</v>
      </c>
    </row>
    <row r="36" spans="2:6" x14ac:dyDescent="0.25">
      <c r="B36" s="24" t="s">
        <v>151</v>
      </c>
      <c r="F36" s="101">
        <f>SUM(F32:P32)</f>
        <v>167013500.5484871</v>
      </c>
    </row>
    <row r="37" spans="2:6"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 and Assumptions</vt:lpstr>
      <vt:lpstr>Acquisition</vt:lpstr>
      <vt:lpstr>Operating Statement</vt:lpstr>
      <vt:lpstr>Reversion</vt:lpstr>
      <vt:lpstr>Property Returns</vt:lpstr>
      <vt:lpstr>GIA</vt:lpstr>
      <vt:lpstr>GLA</vt:lpstr>
      <vt:lpstr>'Summary and Assumptions'!Print_Area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Owen Tolley</dc:creator>
  <cp:lastModifiedBy>Owen Tolley</cp:lastModifiedBy>
  <cp:lastPrinted>2026-08-20T21:36:28Z</cp:lastPrinted>
  <dcterms:created xsi:type="dcterms:W3CDTF">2015-06-05T18:17:20Z</dcterms:created>
  <dcterms:modified xsi:type="dcterms:W3CDTF">2026-08-21T17:34:47Z</dcterms:modified>
</cp:coreProperties>
</file>